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880" activeTab="2"/>
  </bookViews>
  <sheets>
    <sheet name="Disclaimer" sheetId="1" r:id="rId1"/>
    <sheet name="Cortec" sheetId="2" r:id="rId2"/>
    <sheet name="Configurator" sheetId="3" r:id="rId3"/>
    <sheet name="Documents" sheetId="4" state="hidden" r:id="rId4"/>
    <sheet name="Master Text" sheetId="5" r:id="rId5"/>
    <sheet name="Database" sheetId="6" state="hidden" r:id="rId6"/>
    <sheet name="Date Drivers" sheetId="7" state="hidden" r:id="rId7"/>
  </sheets>
  <definedNames/>
  <calcPr fullCalcOnLoad="1"/>
</workbook>
</file>

<file path=xl/sharedStrings.xml><?xml version="1.0" encoding="utf-8"?>
<sst xmlns="http://schemas.openxmlformats.org/spreadsheetml/2006/main" count="759" uniqueCount="178">
  <si>
    <t>Order Number</t>
  </si>
  <si>
    <t>A</t>
  </si>
  <si>
    <t>C</t>
  </si>
  <si>
    <t>Hardware Options</t>
  </si>
  <si>
    <t>B</t>
  </si>
  <si>
    <t>Mounting</t>
  </si>
  <si>
    <t>Language</t>
  </si>
  <si>
    <t>Design Suffix</t>
  </si>
  <si>
    <t>1-4</t>
  </si>
  <si>
    <t>Format = dd/mm/yy (where d=day, m=month, y=year)</t>
  </si>
  <si>
    <t>Key Date</t>
  </si>
  <si>
    <t xml:space="preserve"> </t>
  </si>
  <si>
    <t>Software Version</t>
  </si>
  <si>
    <t>:</t>
  </si>
  <si>
    <t>Issue :</t>
  </si>
  <si>
    <t>Version :</t>
  </si>
  <si>
    <t>Default</t>
  </si>
  <si>
    <t>*</t>
  </si>
  <si>
    <t>1</t>
  </si>
  <si>
    <t>8</t>
  </si>
  <si>
    <t>MASTER</t>
  </si>
  <si>
    <t>External Connection Diagram</t>
  </si>
  <si>
    <t>Outline Diagram</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</si>
  <si>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</si>
  <si>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</si>
  <si>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</si>
  <si>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</si>
  <si>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</si>
  <si>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r>
      <t xml:space="preserve">To enable only current variants to be offered, please specify </t>
    </r>
    <r>
      <rPr>
        <b/>
        <sz val="11"/>
        <color indexed="10"/>
        <rFont val="Arial"/>
        <family val="2"/>
      </rPr>
      <t>ACTUAL</t>
    </r>
    <r>
      <rPr>
        <b/>
        <sz val="11"/>
        <rFont val="Arial"/>
        <family val="2"/>
      </rPr>
      <t xml:space="preserve"> or </t>
    </r>
    <r>
      <rPr>
        <b/>
        <sz val="11"/>
        <color indexed="10"/>
        <rFont val="Arial"/>
        <family val="2"/>
      </rPr>
      <t>REQUIRED</t>
    </r>
    <r>
      <rPr>
        <b/>
        <sz val="11"/>
        <rFont val="Arial"/>
        <family val="2"/>
      </rPr>
      <t xml:space="preserve"> delivery date here</t>
    </r>
  </si>
  <si>
    <t>D</t>
  </si>
  <si>
    <t>40</t>
  </si>
  <si>
    <t>Customer specific</t>
  </si>
  <si>
    <t>12-13</t>
  </si>
  <si>
    <t>KEY DATE</t>
  </si>
  <si>
    <t>Languages :</t>
  </si>
  <si>
    <t>Software Version :</t>
  </si>
  <si>
    <t>Setting Files :</t>
  </si>
  <si>
    <t>41</t>
  </si>
  <si>
    <t>45</t>
  </si>
  <si>
    <t>5</t>
  </si>
  <si>
    <t/>
  </si>
  <si>
    <t>6</t>
  </si>
  <si>
    <t>Model</t>
  </si>
  <si>
    <t>Current Transformer</t>
  </si>
  <si>
    <t>1 - 4</t>
  </si>
  <si>
    <t>Software Reference</t>
  </si>
  <si>
    <t>Initial release</t>
  </si>
  <si>
    <t>Hardware design suffix</t>
  </si>
  <si>
    <t>Significator</t>
  </si>
  <si>
    <t>2</t>
  </si>
  <si>
    <t>Voltage only</t>
  </si>
  <si>
    <t>I/O Options</t>
  </si>
  <si>
    <t>Product Options</t>
  </si>
  <si>
    <t>Protocol</t>
  </si>
  <si>
    <t>Case</t>
  </si>
  <si>
    <t xml:space="preserve">Case </t>
  </si>
  <si>
    <t>0</t>
  </si>
  <si>
    <t>Software</t>
  </si>
  <si>
    <t>a</t>
  </si>
  <si>
    <t>Customisation / Regionalisation</t>
  </si>
  <si>
    <t>Model Type</t>
  </si>
  <si>
    <t>?</t>
  </si>
  <si>
    <t>EIA RS485 / IRIG-B (demodulated) (Only available with I/O option 'B')</t>
  </si>
  <si>
    <t>EIA RS485</t>
  </si>
  <si>
    <t xml:space="preserve">Two ports - EIA RS485 &amp; EIA RS485 / IRIG-B (demodulated) </t>
  </si>
  <si>
    <t>Two ports - EIA RS 485 and Ethernet - Single channel Fibre (Not available with extra I/O)</t>
  </si>
  <si>
    <t>Ethernet (2)</t>
  </si>
  <si>
    <t>Two ports - EIA RS485 &amp; EIA RS485 / IRIG-B (demodulated) (Model 'B' only)</t>
  </si>
  <si>
    <t>Two ports - EIA RS 485 and Ethernet - Single channel Copper (Not available with extra I/O)</t>
  </si>
  <si>
    <t>Hardware Options :</t>
  </si>
  <si>
    <t>Communication protocol :</t>
  </si>
  <si>
    <t>Case :</t>
  </si>
  <si>
    <t>Software only</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</si>
  <si>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</si>
  <si>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</si>
  <si>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</si>
  <si>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</si>
  <si>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</si>
  <si>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</si>
  <si>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</si>
  <si>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</si>
  <si>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</si>
  <si>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</si>
  <si>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</si>
  <si>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</si>
  <si>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</si>
  <si>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</si>
  <si>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</si>
  <si>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</si>
  <si>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</si>
  <si>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</si>
  <si>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</si>
  <si>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</si>
  <si>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</si>
  <si>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</si>
  <si>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</si>
  <si>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</si>
  <si>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</si>
  <si>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10P14D11</t>
  </si>
  <si>
    <t>10P14D01</t>
  </si>
  <si>
    <t>10P14D03</t>
  </si>
  <si>
    <t>10P14D05</t>
  </si>
  <si>
    <t>10P14D07</t>
  </si>
  <si>
    <t>10P14D09</t>
  </si>
  <si>
    <t>10P14D02</t>
  </si>
  <si>
    <t>10P14D04</t>
  </si>
  <si>
    <t>10P14D06</t>
  </si>
  <si>
    <t>10P14D08</t>
  </si>
  <si>
    <t>10P14D10</t>
  </si>
  <si>
    <t>10P14D12</t>
  </si>
  <si>
    <t>1AC11</t>
  </si>
  <si>
    <t>1AC12</t>
  </si>
  <si>
    <t>app</t>
  </si>
  <si>
    <t>ct</t>
  </si>
  <si>
    <t>io</t>
  </si>
  <si>
    <t>case</t>
  </si>
  <si>
    <t>hw</t>
  </si>
  <si>
    <t>10P14N01</t>
  </si>
  <si>
    <t>10P14N02</t>
  </si>
  <si>
    <t>10P14N03</t>
  </si>
  <si>
    <t>10P14N04</t>
  </si>
  <si>
    <t>10P14N05</t>
  </si>
  <si>
    <t>10P14N06</t>
  </si>
  <si>
    <t>10P14N07</t>
  </si>
  <si>
    <t>10P14N08</t>
  </si>
  <si>
    <t>10P14N09</t>
  </si>
  <si>
    <t>10P14N10</t>
  </si>
  <si>
    <t>10P14N11</t>
  </si>
  <si>
    <t>10P14N12</t>
  </si>
  <si>
    <t>2AB1</t>
  </si>
  <si>
    <t>1CC1</t>
  </si>
  <si>
    <t>2CC1</t>
  </si>
  <si>
    <t>1BC8</t>
  </si>
  <si>
    <t>2BC8</t>
  </si>
  <si>
    <t>1DC1</t>
  </si>
  <si>
    <t>2DC1</t>
  </si>
  <si>
    <t>1A21</t>
  </si>
  <si>
    <t>20TE Flush (no function keys, 4 programmable LEDs)</t>
  </si>
  <si>
    <t>1A</t>
  </si>
  <si>
    <t>1b</t>
  </si>
  <si>
    <t>1A512</t>
  </si>
  <si>
    <t>Auxilliary Voltage</t>
  </si>
  <si>
    <t>EIA RS485 only</t>
  </si>
  <si>
    <t>Modbus / IEC 60870-5-103</t>
  </si>
  <si>
    <t>Non drawout</t>
  </si>
  <si>
    <t>English</t>
  </si>
  <si>
    <t>Initial release (v1.xx)</t>
  </si>
  <si>
    <t>01</t>
  </si>
  <si>
    <t>P154</t>
  </si>
  <si>
    <t>Digital Input Voltage</t>
  </si>
  <si>
    <t>24 – 230 V DC/AC</t>
  </si>
  <si>
    <t>24-230 V DC/AC</t>
  </si>
  <si>
    <t>48/60 V DC/AC</t>
  </si>
  <si>
    <t>110 V DC/AC</t>
  </si>
  <si>
    <t>220 V DC/230 V AC</t>
  </si>
  <si>
    <t>Standard CT</t>
  </si>
  <si>
    <t>SEF CT</t>
  </si>
  <si>
    <t xml:space="preserve">I/O Options </t>
  </si>
  <si>
    <t>Standard ( 6 logic inputs + 6 relay outputs )</t>
  </si>
  <si>
    <t>DNP3.0</t>
  </si>
  <si>
    <t>3</t>
  </si>
  <si>
    <t>4</t>
  </si>
  <si>
    <t>Standard (6 logic inputs + 6 relay outputs)</t>
  </si>
  <si>
    <t>Non Dir. O/C + E/F  (4 Element)</t>
  </si>
  <si>
    <t>Auxiliary Voltage</t>
  </si>
  <si>
    <t>Initial release, see CID MBAM-9PPAWM - 08/10/2014</t>
  </si>
  <si>
    <t>DNP3.0 (Not yet available)</t>
  </si>
  <si>
    <t>Binary Input Threshold Voltage</t>
  </si>
  <si>
    <t>Communication Protocol</t>
  </si>
  <si>
    <t>18V DC / 16V AC</t>
  </si>
  <si>
    <t>35V DC / 33V AC</t>
  </si>
  <si>
    <t>77V DC / 75V AC</t>
  </si>
  <si>
    <t>154V DC / 152V AC</t>
  </si>
  <si>
    <t xml:space="preserve">DNP3.0 </t>
  </si>
  <si>
    <t>Current  Transformer</t>
  </si>
  <si>
    <t>English or French (with French via relay HMI only)</t>
  </si>
  <si>
    <t>Standard front panel with English labelling</t>
  </si>
  <si>
    <t xml:space="preserve">P154 Firmware Release V1.07; DNP3, English &amp; French Language Options, CID MBAM-AAPKM7, 14/06/2016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</si>
</sst>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0,000"/>
    <numFmt numFmtId="190" formatCode="0.000"/>
    <numFmt numFmtId="191" formatCode=";;;"/>
    <numFmt numFmtId="192" formatCode="00"/>
    <numFmt numFmtId="193" formatCode="000"/>
    <numFmt numFmtId="194" formatCode="[$-809]dd\ mmmm\ yyyy"/>
    <numFmt numFmtId="195" formatCode="dd/mm/yy;@"/>
  </numFmts>
  <fonts count="60">
    <font>
      <sz val="8"/>
      <name val="FuturaA Bk BT"/>
      <family val="0"/>
    </font>
    <font>
      <sz val="10"/>
      <name val="Arial"/>
      <family val="2"/>
    </font>
    <font>
      <sz val="11"/>
      <name val="Arial"/>
      <family val="2"/>
    </font>
    <font>
      <sz val="10"/>
      <color indexed="9"/>
      <name val="Arial"/>
      <family val="2"/>
    </font>
    <font>
      <b/>
      <sz val="10"/>
      <name val="Arial"/>
      <family val="2"/>
    </font>
    <font>
      <b/>
      <sz val="14"/>
      <name val="Arial"/>
      <family val="2"/>
    </font>
    <font>
      <b/>
      <sz val="11"/>
      <name val="Arial"/>
      <family val="2"/>
    </font>
    <font>
      <b/>
      <sz val="11"/>
      <color indexed="10"/>
      <name val="Arial"/>
      <family val="2"/>
    </font>
    <font>
      <b/>
      <sz val="12"/>
      <color indexed="10"/>
      <name val="Arial"/>
      <family val="2"/>
    </font>
    <font>
      <b/>
      <sz val="14"/>
      <color indexed="10"/>
      <name val="Arial"/>
      <family val="2"/>
    </font>
    <font>
      <b/>
      <sz val="12"/>
      <color indexed="17"/>
      <name val="Arial"/>
      <family val="2"/>
    </font>
    <font>
      <b/>
      <sz val="12"/>
      <name val="Arial"/>
      <family val="2"/>
    </font>
    <font>
      <sz val="10"/>
      <color indexed="10"/>
      <name val="Arial"/>
      <family val="2"/>
    </font>
    <font>
      <b/>
      <sz val="8"/>
      <color indexed="10"/>
      <name val="FuturaA Bk BT"/>
      <family val="2"/>
    </font>
    <font>
      <sz val="8"/>
      <color indexed="10"/>
      <name val="FuturaA Bk BT"/>
      <family val="2"/>
    </font>
    <font>
      <b/>
      <sz val="10"/>
      <color indexed="8"/>
      <name val="Arial"/>
      <family val="2"/>
    </font>
    <font>
      <b/>
      <sz val="12"/>
      <color indexed="12"/>
      <name val="Arial"/>
      <family val="2"/>
    </font>
    <font>
      <u val="single"/>
      <sz val="6.8"/>
      <color indexed="12"/>
      <name val="FuturaA Bk BT"/>
      <family val="2"/>
    </font>
    <font>
      <u val="single"/>
      <sz val="6.8"/>
      <color indexed="36"/>
      <name val="FuturaA Bk BT"/>
      <family val="2"/>
    </font>
    <font>
      <sz val="10"/>
      <color indexed="8"/>
      <name val="Arial"/>
      <family val="2"/>
    </font>
    <font>
      <sz val="9"/>
      <color indexed="8"/>
      <name val="Arial"/>
      <family val="2"/>
    </font>
    <font>
      <sz val="9"/>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FuturaA Bk B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n"/>
      <bottom style="medium"/>
    </border>
    <border>
      <left style="thick"/>
      <right>
        <color indexed="63"/>
      </right>
      <top style="thick"/>
      <bottom style="thin"/>
    </border>
    <border>
      <left style="thin"/>
      <right>
        <color indexed="63"/>
      </right>
      <top style="medium"/>
      <bottom>
        <color indexed="63"/>
      </bottom>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medium"/>
      <bottom style="thin"/>
    </border>
    <border>
      <left style="thick"/>
      <right>
        <color indexed="63"/>
      </right>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medium"/>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9">
    <xf numFmtId="0" fontId="0" fillId="0" borderId="0" xfId="0" applyAlignment="1">
      <alignment/>
    </xf>
    <xf numFmtId="0" fontId="1" fillId="0" borderId="0" xfId="57">
      <alignment/>
      <protection/>
    </xf>
    <xf numFmtId="0" fontId="1" fillId="0" borderId="0" xfId="57" applyBorder="1">
      <alignment/>
      <protection/>
    </xf>
    <xf numFmtId="0" fontId="1" fillId="0" borderId="10" xfId="57" applyBorder="1">
      <alignment/>
      <protection/>
    </xf>
    <xf numFmtId="0" fontId="4" fillId="0" borderId="10" xfId="57" applyFont="1" applyBorder="1">
      <alignment/>
      <protection/>
    </xf>
    <xf numFmtId="0" fontId="1" fillId="33" borderId="0" xfId="57" applyFill="1" applyBorder="1" applyAlignment="1">
      <alignment horizontal="center"/>
      <protection/>
    </xf>
    <xf numFmtId="0" fontId="1" fillId="34" borderId="0" xfId="57" applyFill="1" applyBorder="1" applyAlignment="1">
      <alignment horizontal="center"/>
      <protection/>
    </xf>
    <xf numFmtId="0" fontId="1" fillId="0" borderId="0" xfId="57" applyFont="1" applyBorder="1">
      <alignment/>
      <protection/>
    </xf>
    <xf numFmtId="0" fontId="1" fillId="0" borderId="0" xfId="57" applyFont="1" applyBorder="1" applyAlignment="1">
      <alignment horizontal="center"/>
      <protection/>
    </xf>
    <xf numFmtId="0" fontId="1" fillId="0" borderId="0" xfId="57" applyFont="1" applyFill="1" applyBorder="1" applyAlignment="1">
      <alignment horizontal="center"/>
      <protection/>
    </xf>
    <xf numFmtId="0" fontId="1" fillId="0" borderId="11" xfId="57" applyBorder="1">
      <alignment/>
      <protection/>
    </xf>
    <xf numFmtId="0" fontId="0" fillId="0" borderId="12" xfId="0" applyBorder="1" applyAlignment="1">
      <alignment/>
    </xf>
    <xf numFmtId="0" fontId="6" fillId="0" borderId="13" xfId="0" applyFont="1" applyBorder="1" applyAlignment="1">
      <alignment/>
    </xf>
    <xf numFmtId="0" fontId="0" fillId="0" borderId="0" xfId="0" applyBorder="1" applyAlignment="1">
      <alignment/>
    </xf>
    <xf numFmtId="0" fontId="0" fillId="0" borderId="14" xfId="0" applyBorder="1" applyAlignment="1">
      <alignment/>
    </xf>
    <xf numFmtId="0" fontId="6" fillId="0" borderId="15" xfId="0" applyFont="1" applyBorder="1" applyAlignment="1">
      <alignment vertical="center"/>
    </xf>
    <xf numFmtId="0" fontId="0" fillId="0" borderId="16" xfId="0" applyBorder="1" applyAlignment="1">
      <alignment/>
    </xf>
    <xf numFmtId="0" fontId="0" fillId="0" borderId="17" xfId="0" applyBorder="1" applyAlignment="1">
      <alignment/>
    </xf>
    <xf numFmtId="0" fontId="0" fillId="0" borderId="13" xfId="0" applyBorder="1" applyAlignment="1">
      <alignment/>
    </xf>
    <xf numFmtId="1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14" xfId="0" applyBorder="1" applyAlignment="1" quotePrefix="1">
      <alignment horizontal="center"/>
    </xf>
    <xf numFmtId="0" fontId="9" fillId="0" borderId="18" xfId="0" applyFont="1" applyBorder="1" applyAlignment="1">
      <alignment horizontal="center"/>
    </xf>
    <xf numFmtId="0" fontId="9" fillId="0" borderId="18" xfId="0" applyFont="1" applyBorder="1" applyAlignment="1" quotePrefix="1">
      <alignment horizontal="center"/>
    </xf>
    <xf numFmtId="0" fontId="0" fillId="0" borderId="14" xfId="0" applyBorder="1" applyAlignment="1">
      <alignment horizontal="center"/>
    </xf>
    <xf numFmtId="0" fontId="10" fillId="0" borderId="13" xfId="0" applyFont="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24" xfId="0" applyFont="1" applyBorder="1" applyAlignment="1">
      <alignment/>
    </xf>
    <xf numFmtId="0" fontId="0" fillId="0" borderId="25" xfId="0" applyBorder="1" applyAlignment="1">
      <alignment/>
    </xf>
    <xf numFmtId="0" fontId="0" fillId="0" borderId="25" xfId="0" applyFill="1" applyBorder="1" applyAlignment="1">
      <alignment/>
    </xf>
    <xf numFmtId="0" fontId="0" fillId="0" borderId="26" xfId="0"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13" fillId="0" borderId="0" xfId="0" applyFont="1" applyAlignment="1">
      <alignment horizontal="right"/>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14" fontId="0" fillId="0" borderId="23" xfId="0" applyNumberFormat="1"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0" fillId="0" borderId="28" xfId="0" applyFont="1" applyBorder="1" applyAlignment="1" quotePrefix="1">
      <alignment horizontal="center"/>
    </xf>
    <xf numFmtId="0" fontId="0" fillId="0" borderId="29" xfId="0" applyFont="1" applyBorder="1" applyAlignment="1" quotePrefix="1">
      <alignment horizontal="center"/>
    </xf>
    <xf numFmtId="0" fontId="9" fillId="0" borderId="18" xfId="0" applyFont="1" applyFill="1" applyBorder="1" applyAlignment="1" quotePrefix="1">
      <alignment horizontal="center" vertical="center"/>
    </xf>
    <xf numFmtId="0" fontId="8" fillId="0" borderId="30" xfId="57" applyFont="1" applyBorder="1">
      <alignment/>
      <protection/>
    </xf>
    <xf numFmtId="0" fontId="1" fillId="0" borderId="31" xfId="57" applyBorder="1">
      <alignment/>
      <protection/>
    </xf>
    <xf numFmtId="0" fontId="1" fillId="0" borderId="32" xfId="57" applyBorder="1">
      <alignment/>
      <protection/>
    </xf>
    <xf numFmtId="0" fontId="1" fillId="0" borderId="33" xfId="57" applyBorder="1">
      <alignment/>
      <protection/>
    </xf>
    <xf numFmtId="0" fontId="1" fillId="0" borderId="34" xfId="57" applyBorder="1">
      <alignment/>
      <protection/>
    </xf>
    <xf numFmtId="0" fontId="1" fillId="0" borderId="35" xfId="57" applyBorder="1">
      <alignment/>
      <protection/>
    </xf>
    <xf numFmtId="0" fontId="4" fillId="0" borderId="0" xfId="57" applyFont="1" applyBorder="1" applyAlignment="1">
      <alignment horizontal="center"/>
      <protection/>
    </xf>
    <xf numFmtId="0" fontId="4" fillId="0" borderId="10" xfId="57" applyFont="1" applyBorder="1" applyAlignment="1">
      <alignment vertical="center"/>
      <protection/>
    </xf>
    <xf numFmtId="0" fontId="4" fillId="0" borderId="36" xfId="57" applyFont="1" applyBorder="1" applyAlignment="1">
      <alignment vertical="center"/>
      <protection/>
    </xf>
    <xf numFmtId="0" fontId="4" fillId="0" borderId="20" xfId="57" applyFont="1" applyBorder="1" applyAlignment="1">
      <alignment horizontal="center" vertical="center"/>
      <protection/>
    </xf>
    <xf numFmtId="0" fontId="12" fillId="0" borderId="37" xfId="57" applyFont="1" applyBorder="1" applyAlignment="1">
      <alignment vertical="center" wrapText="1"/>
      <protection/>
    </xf>
    <xf numFmtId="0" fontId="1" fillId="0" borderId="38" xfId="57" applyBorder="1">
      <alignment/>
      <protection/>
    </xf>
    <xf numFmtId="0" fontId="1" fillId="0" borderId="10" xfId="57" applyBorder="1" applyAlignment="1">
      <alignment horizontal="center"/>
      <protection/>
    </xf>
    <xf numFmtId="0" fontId="4" fillId="0" borderId="23" xfId="57" applyFont="1" applyBorder="1" applyAlignment="1">
      <alignment horizontal="center"/>
      <protection/>
    </xf>
    <xf numFmtId="0" fontId="1" fillId="0" borderId="39" xfId="57" applyBorder="1">
      <alignment/>
      <protection/>
    </xf>
    <xf numFmtId="0" fontId="4" fillId="0" borderId="11" xfId="57" applyFont="1" applyBorder="1" applyAlignment="1">
      <alignment horizontal="center"/>
      <protection/>
    </xf>
    <xf numFmtId="0" fontId="1" fillId="0" borderId="40" xfId="57" applyBorder="1">
      <alignment/>
      <protection/>
    </xf>
    <xf numFmtId="0" fontId="8" fillId="0" borderId="41" xfId="57" applyFont="1" applyBorder="1">
      <alignment/>
      <protection/>
    </xf>
    <xf numFmtId="0" fontId="1" fillId="0" borderId="42" xfId="57" applyBorder="1">
      <alignment/>
      <protection/>
    </xf>
    <xf numFmtId="0" fontId="6" fillId="0" borderId="42" xfId="57" applyFont="1" applyBorder="1" applyAlignment="1">
      <alignment horizontal="center"/>
      <protection/>
    </xf>
    <xf numFmtId="0" fontId="1" fillId="0" borderId="43" xfId="57" applyBorder="1">
      <alignment/>
      <protection/>
    </xf>
    <xf numFmtId="0" fontId="6" fillId="0" borderId="10" xfId="57" applyFont="1" applyBorder="1">
      <alignment/>
      <protection/>
    </xf>
    <xf numFmtId="0" fontId="6" fillId="0" borderId="0" xfId="57" applyFont="1" applyBorder="1" applyAlignment="1">
      <alignment horizontal="center"/>
      <protection/>
    </xf>
    <xf numFmtId="0" fontId="1" fillId="0" borderId="44" xfId="57" applyFont="1" applyBorder="1">
      <alignment/>
      <protection/>
    </xf>
    <xf numFmtId="0" fontId="2" fillId="0" borderId="0" xfId="58">
      <alignment/>
      <protection/>
    </xf>
    <xf numFmtId="0" fontId="14" fillId="36" borderId="23" xfId="0" applyFont="1" applyFill="1" applyBorder="1" applyAlignment="1" applyProtection="1">
      <alignment horizontal="center"/>
      <protection locked="0"/>
    </xf>
    <xf numFmtId="0" fontId="0" fillId="0" borderId="27" xfId="0" applyFont="1" applyBorder="1" applyAlignment="1" quotePrefix="1">
      <alignment horizontal="center"/>
    </xf>
    <xf numFmtId="14" fontId="0" fillId="0" borderId="0" xfId="0" applyNumberFormat="1" applyFont="1" applyAlignment="1">
      <alignment/>
    </xf>
    <xf numFmtId="0" fontId="0" fillId="0" borderId="0" xfId="0" applyFont="1" applyBorder="1" applyAlignment="1">
      <alignment/>
    </xf>
    <xf numFmtId="0" fontId="0" fillId="0" borderId="28" xfId="0" applyFont="1" applyBorder="1" applyAlignment="1">
      <alignment/>
    </xf>
    <xf numFmtId="0" fontId="0" fillId="0" borderId="21" xfId="0" applyBorder="1" applyAlignment="1">
      <alignment/>
    </xf>
    <xf numFmtId="0" fontId="0" fillId="0" borderId="19" xfId="0" applyBorder="1" applyAlignment="1">
      <alignment/>
    </xf>
    <xf numFmtId="0" fontId="0" fillId="0" borderId="20" xfId="0" applyBorder="1" applyAlignment="1">
      <alignment/>
    </xf>
    <xf numFmtId="0" fontId="0" fillId="0" borderId="23" xfId="0" applyBorder="1" applyAlignment="1" quotePrefix="1">
      <alignment/>
    </xf>
    <xf numFmtId="0" fontId="0" fillId="0" borderId="22" xfId="0" applyBorder="1" applyAlignment="1">
      <alignment/>
    </xf>
    <xf numFmtId="0" fontId="0" fillId="0" borderId="45" xfId="0" applyBorder="1" applyAlignment="1">
      <alignment/>
    </xf>
    <xf numFmtId="0" fontId="14" fillId="36" borderId="27" xfId="0" applyFont="1" applyFill="1" applyBorder="1" applyAlignment="1" applyProtection="1">
      <alignment horizontal="center"/>
      <protection locked="0"/>
    </xf>
    <xf numFmtId="0" fontId="14" fillId="0" borderId="45" xfId="0" applyFont="1" applyBorder="1" applyAlignment="1">
      <alignment/>
    </xf>
    <xf numFmtId="0" fontId="14" fillId="0" borderId="19" xfId="0" applyFont="1" applyBorder="1" applyAlignment="1">
      <alignment/>
    </xf>
    <xf numFmtId="0" fontId="0" fillId="0" borderId="46" xfId="0" applyBorder="1" applyAlignment="1">
      <alignment/>
    </xf>
    <xf numFmtId="0" fontId="0" fillId="0" borderId="47" xfId="0" applyBorder="1" applyAlignment="1" quotePrefix="1">
      <alignment horizontal="center"/>
    </xf>
    <xf numFmtId="0" fontId="5" fillId="0" borderId="48" xfId="0" applyFont="1" applyBorder="1" applyAlignment="1">
      <alignment/>
    </xf>
    <xf numFmtId="0" fontId="0" fillId="0" borderId="21" xfId="0" applyFill="1" applyBorder="1" applyAlignment="1">
      <alignment/>
    </xf>
    <xf numFmtId="0" fontId="0" fillId="0" borderId="23" xfId="0" applyBorder="1" applyAlignment="1">
      <alignment horizontal="center"/>
    </xf>
    <xf numFmtId="0" fontId="14" fillId="0" borderId="23" xfId="0" applyFont="1" applyBorder="1" applyAlignment="1">
      <alignment horizontal="center"/>
    </xf>
    <xf numFmtId="14" fontId="14" fillId="0" borderId="23" xfId="0" applyNumberFormat="1" applyFont="1" applyBorder="1" applyAlignment="1">
      <alignment horizontal="center"/>
    </xf>
    <xf numFmtId="0" fontId="0" fillId="34" borderId="49" xfId="0" applyFill="1" applyBorder="1" applyAlignment="1">
      <alignment/>
    </xf>
    <xf numFmtId="0" fontId="0" fillId="34" borderId="45" xfId="0" applyFill="1" applyBorder="1" applyAlignment="1">
      <alignment/>
    </xf>
    <xf numFmtId="0" fontId="0" fillId="34" borderId="0" xfId="0" applyFill="1" applyBorder="1" applyAlignment="1">
      <alignment/>
    </xf>
    <xf numFmtId="0" fontId="0" fillId="33" borderId="49" xfId="0" applyFill="1" applyBorder="1" applyAlignment="1">
      <alignment/>
    </xf>
    <xf numFmtId="0" fontId="0" fillId="33" borderId="45" xfId="0"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3" borderId="50" xfId="0" applyFill="1" applyBorder="1" applyAlignment="1">
      <alignment/>
    </xf>
    <xf numFmtId="0" fontId="0" fillId="37" borderId="49" xfId="0" applyFill="1" applyBorder="1" applyAlignment="1">
      <alignment/>
    </xf>
    <xf numFmtId="0" fontId="0" fillId="37" borderId="45" xfId="0" applyFill="1" applyBorder="1" applyAlignment="1">
      <alignment/>
    </xf>
    <xf numFmtId="0" fontId="0" fillId="37" borderId="0" xfId="0" applyFill="1" applyBorder="1" applyAlignment="1">
      <alignment/>
    </xf>
    <xf numFmtId="0" fontId="0" fillId="37" borderId="21" xfId="0" applyFill="1" applyBorder="1" applyAlignment="1">
      <alignment/>
    </xf>
    <xf numFmtId="0" fontId="0" fillId="37" borderId="50" xfId="0" applyFill="1" applyBorder="1" applyAlignment="1">
      <alignment/>
    </xf>
    <xf numFmtId="0" fontId="0" fillId="37" borderId="34" xfId="0" applyFill="1" applyBorder="1" applyAlignment="1">
      <alignment/>
    </xf>
    <xf numFmtId="0" fontId="0" fillId="34" borderId="21" xfId="0" applyFill="1" applyBorder="1" applyAlignment="1">
      <alignment/>
    </xf>
    <xf numFmtId="0" fontId="0" fillId="34" borderId="50" xfId="0" applyFill="1" applyBorder="1" applyAlignment="1">
      <alignment/>
    </xf>
    <xf numFmtId="0" fontId="0" fillId="34" borderId="20" xfId="0" applyFill="1" applyBorder="1" applyAlignment="1">
      <alignment/>
    </xf>
    <xf numFmtId="0" fontId="0" fillId="33" borderId="51" xfId="0" applyFill="1" applyBorder="1" applyAlignment="1">
      <alignment/>
    </xf>
    <xf numFmtId="0" fontId="0" fillId="33" borderId="28" xfId="0" applyFill="1" applyBorder="1" applyAlignment="1">
      <alignment/>
    </xf>
    <xf numFmtId="0" fontId="0" fillId="33" borderId="52" xfId="0" applyFill="1" applyBorder="1" applyAlignment="1">
      <alignment/>
    </xf>
    <xf numFmtId="0" fontId="0" fillId="33" borderId="21" xfId="0" applyFill="1" applyBorder="1" applyAlignment="1">
      <alignment/>
    </xf>
    <xf numFmtId="0" fontId="9" fillId="33" borderId="50" xfId="0" applyFont="1" applyFill="1" applyBorder="1" applyAlignment="1">
      <alignment horizontal="center" vertical="center"/>
    </xf>
    <xf numFmtId="0" fontId="0" fillId="33" borderId="20" xfId="0" applyFill="1" applyBorder="1" applyAlignment="1">
      <alignment/>
    </xf>
    <xf numFmtId="0" fontId="0" fillId="37" borderId="52" xfId="0" applyFill="1" applyBorder="1" applyAlignment="1">
      <alignment/>
    </xf>
    <xf numFmtId="0" fontId="0" fillId="37" borderId="53" xfId="0" applyFill="1" applyBorder="1" applyAlignment="1">
      <alignment/>
    </xf>
    <xf numFmtId="0" fontId="0" fillId="34" borderId="54" xfId="0" applyFill="1" applyBorder="1" applyAlignment="1">
      <alignment/>
    </xf>
    <xf numFmtId="0" fontId="0" fillId="34" borderId="52" xfId="0" applyFill="1" applyBorder="1" applyAlignment="1">
      <alignment/>
    </xf>
    <xf numFmtId="0" fontId="9" fillId="34" borderId="22" xfId="0" applyFont="1" applyFill="1" applyBorder="1" applyAlignment="1">
      <alignment horizontal="center" vertical="center"/>
    </xf>
    <xf numFmtId="0" fontId="0" fillId="34" borderId="34" xfId="0" applyFill="1" applyBorder="1" applyAlignment="1">
      <alignment/>
    </xf>
    <xf numFmtId="0" fontId="0" fillId="33" borderId="53" xfId="0" applyFill="1" applyBorder="1" applyAlignment="1">
      <alignment/>
    </xf>
    <xf numFmtId="0" fontId="0" fillId="33" borderId="34" xfId="0" applyFill="1" applyBorder="1" applyAlignment="1">
      <alignment/>
    </xf>
    <xf numFmtId="0" fontId="0" fillId="37" borderId="20" xfId="0" applyFill="1" applyBorder="1" applyAlignment="1">
      <alignment/>
    </xf>
    <xf numFmtId="0" fontId="0" fillId="37" borderId="54" xfId="0" applyFill="1" applyBorder="1" applyAlignment="1">
      <alignment/>
    </xf>
    <xf numFmtId="0" fontId="0" fillId="34" borderId="51" xfId="0" applyFill="1" applyBorder="1" applyAlignment="1">
      <alignment/>
    </xf>
    <xf numFmtId="0" fontId="0" fillId="0" borderId="55" xfId="0" applyFont="1" applyBorder="1" applyAlignment="1" quotePrefix="1">
      <alignment horizontal="center"/>
    </xf>
    <xf numFmtId="0" fontId="0" fillId="0" borderId="0" xfId="0" applyFont="1" applyAlignment="1" quotePrefix="1">
      <alignment/>
    </xf>
    <xf numFmtId="0" fontId="0" fillId="0" borderId="52" xfId="0" applyFont="1" applyBorder="1" applyAlignment="1" quotePrefix="1">
      <alignment/>
    </xf>
    <xf numFmtId="0" fontId="0" fillId="0" borderId="21" xfId="0" applyFont="1" applyBorder="1" applyAlignment="1" quotePrefix="1">
      <alignment/>
    </xf>
    <xf numFmtId="0" fontId="0" fillId="0" borderId="21" xfId="0" applyFont="1" applyBorder="1" applyAlignment="1" quotePrefix="1">
      <alignment horizontal="center"/>
    </xf>
    <xf numFmtId="0" fontId="0" fillId="0" borderId="52" xfId="0" applyFont="1" applyBorder="1" applyAlignment="1" quotePrefix="1">
      <alignment horizontal="center"/>
    </xf>
    <xf numFmtId="0" fontId="0" fillId="0" borderId="29" xfId="0" applyFont="1" applyBorder="1" applyAlignment="1" quotePrefix="1">
      <alignment/>
    </xf>
    <xf numFmtId="0" fontId="0" fillId="0" borderId="45"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0" fillId="0" borderId="52" xfId="0" applyBorder="1" applyAlignment="1">
      <alignment/>
    </xf>
    <xf numFmtId="0" fontId="0" fillId="0" borderId="2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quotePrefix="1">
      <alignment horizontal="center"/>
    </xf>
    <xf numFmtId="0" fontId="0" fillId="0" borderId="23" xfId="0" applyBorder="1" applyAlignment="1" quotePrefix="1">
      <alignment horizontal="center"/>
    </xf>
    <xf numFmtId="0" fontId="14" fillId="0" borderId="27" xfId="0" applyFont="1" applyBorder="1" applyAlignment="1">
      <alignment horizontal="center"/>
    </xf>
    <xf numFmtId="14" fontId="14" fillId="0" borderId="23" xfId="0" applyNumberFormat="1" applyFont="1" applyBorder="1" applyAlignment="1">
      <alignment horizontal="center"/>
    </xf>
    <xf numFmtId="0" fontId="14" fillId="0" borderId="28" xfId="0" applyFont="1" applyBorder="1" applyAlignment="1" quotePrefix="1">
      <alignment horizontal="center"/>
    </xf>
    <xf numFmtId="0" fontId="16" fillId="0" borderId="13" xfId="0" applyFont="1" applyBorder="1" applyAlignment="1">
      <alignment/>
    </xf>
    <xf numFmtId="0" fontId="16" fillId="0" borderId="56" xfId="0" applyFont="1" applyBorder="1" applyAlignment="1">
      <alignment/>
    </xf>
    <xf numFmtId="0" fontId="1" fillId="0" borderId="0" xfId="57" applyFill="1" applyBorder="1" applyAlignment="1">
      <alignment horizontal="center"/>
      <protection/>
    </xf>
    <xf numFmtId="0" fontId="1" fillId="37" borderId="0" xfId="57" applyFill="1" applyBorder="1" applyAlignment="1">
      <alignment horizontal="center"/>
      <protection/>
    </xf>
    <xf numFmtId="0" fontId="9" fillId="0" borderId="27" xfId="0" applyFont="1" applyFill="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xf>
    <xf numFmtId="0" fontId="0" fillId="0" borderId="52" xfId="0" applyFont="1" applyBorder="1" applyAlignment="1">
      <alignment horizontal="center"/>
    </xf>
    <xf numFmtId="0" fontId="1" fillId="34" borderId="49" xfId="0" applyFont="1" applyFill="1" applyBorder="1" applyAlignment="1">
      <alignment/>
    </xf>
    <xf numFmtId="0" fontId="9" fillId="33" borderId="0" xfId="0" applyFont="1" applyFill="1" applyBorder="1" applyAlignment="1">
      <alignment horizontal="center" vertical="center"/>
    </xf>
    <xf numFmtId="0" fontId="9" fillId="34" borderId="34" xfId="0" applyFont="1" applyFill="1" applyBorder="1" applyAlignment="1">
      <alignment horizontal="center" vertical="center"/>
    </xf>
    <xf numFmtId="0" fontId="14" fillId="0" borderId="23" xfId="0" applyFont="1" applyBorder="1" applyAlignment="1">
      <alignment/>
    </xf>
    <xf numFmtId="0" fontId="14" fillId="0" borderId="23" xfId="0" applyFont="1" applyBorder="1" applyAlignment="1" quotePrefix="1">
      <alignment/>
    </xf>
    <xf numFmtId="0" fontId="14" fillId="0" borderId="23" xfId="0" applyFont="1" applyBorder="1" applyAlignment="1">
      <alignment horizontal="center"/>
    </xf>
    <xf numFmtId="0" fontId="9" fillId="34" borderId="45"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29" xfId="0" applyFont="1" applyFill="1" applyBorder="1" applyAlignment="1">
      <alignment horizontal="center" vertical="center"/>
    </xf>
    <xf numFmtId="0" fontId="1" fillId="37" borderId="57" xfId="0" applyFont="1" applyFill="1" applyBorder="1" applyAlignment="1">
      <alignment/>
    </xf>
    <xf numFmtId="0" fontId="0" fillId="0" borderId="28" xfId="0" applyFont="1" applyFill="1" applyBorder="1" applyAlignment="1" quotePrefix="1">
      <alignment horizontal="center"/>
    </xf>
    <xf numFmtId="0" fontId="0" fillId="0" borderId="28" xfId="0" applyFont="1" applyFill="1" applyBorder="1" applyAlignment="1">
      <alignment horizontal="center"/>
    </xf>
    <xf numFmtId="0" fontId="9" fillId="33" borderId="19" xfId="0" applyFont="1" applyFill="1" applyBorder="1" applyAlignment="1">
      <alignment horizontal="center" vertical="center"/>
    </xf>
    <xf numFmtId="0" fontId="9" fillId="37" borderId="19" xfId="0" applyFont="1" applyFill="1" applyBorder="1" applyAlignment="1">
      <alignment horizontal="center" vertical="center"/>
    </xf>
    <xf numFmtId="0" fontId="14" fillId="0" borderId="45" xfId="0" applyFont="1" applyBorder="1" applyAlignment="1" quotePrefix="1">
      <alignment/>
    </xf>
    <xf numFmtId="0" fontId="14" fillId="0" borderId="19" xfId="0" applyFont="1" applyBorder="1" applyAlignment="1" quotePrefix="1">
      <alignment/>
    </xf>
    <xf numFmtId="0" fontId="14" fillId="0" borderId="29" xfId="0" applyFont="1" applyBorder="1" applyAlignment="1" quotePrefix="1">
      <alignment horizontal="center"/>
    </xf>
    <xf numFmtId="0" fontId="14" fillId="0" borderId="27" xfId="0" applyFont="1" applyBorder="1" applyAlignment="1">
      <alignment/>
    </xf>
    <xf numFmtId="0" fontId="14" fillId="0" borderId="28" xfId="0" applyFont="1" applyBorder="1" applyAlignment="1">
      <alignment/>
    </xf>
    <xf numFmtId="0" fontId="14" fillId="0" borderId="28" xfId="0" applyFont="1" applyBorder="1" applyAlignment="1" quotePrefix="1">
      <alignment horizontal="center"/>
    </xf>
    <xf numFmtId="0" fontId="14" fillId="0" borderId="28" xfId="0" applyFont="1" applyBorder="1" applyAlignment="1">
      <alignment horizontal="center"/>
    </xf>
    <xf numFmtId="0" fontId="14" fillId="0" borderId="45" xfId="0" applyFont="1" applyBorder="1" applyAlignment="1">
      <alignment horizontal="center"/>
    </xf>
    <xf numFmtId="0" fontId="14" fillId="0" borderId="28" xfId="0" applyFont="1" applyBorder="1" applyAlignment="1" quotePrefix="1">
      <alignment/>
    </xf>
    <xf numFmtId="0" fontId="14" fillId="0" borderId="0" xfId="0" applyFont="1" applyBorder="1" applyAlignment="1">
      <alignment horizontal="center"/>
    </xf>
    <xf numFmtId="0" fontId="14" fillId="0" borderId="34" xfId="0" applyFont="1" applyBorder="1" applyAlignment="1" quotePrefix="1">
      <alignment horizontal="left"/>
    </xf>
    <xf numFmtId="0" fontId="14" fillId="0" borderId="20" xfId="0" applyFont="1" applyBorder="1" applyAlignment="1" quotePrefix="1">
      <alignment horizontal="left"/>
    </xf>
    <xf numFmtId="0" fontId="0" fillId="0" borderId="34" xfId="0" applyFill="1" applyBorder="1" applyAlignment="1">
      <alignment/>
    </xf>
    <xf numFmtId="0" fontId="0" fillId="0" borderId="45" xfId="0" applyBorder="1" applyAlignment="1" quotePrefix="1">
      <alignment/>
    </xf>
    <xf numFmtId="0" fontId="0" fillId="0" borderId="0" xfId="0" applyBorder="1" applyAlignment="1" quotePrefix="1">
      <alignment/>
    </xf>
    <xf numFmtId="0" fontId="7" fillId="0" borderId="0" xfId="57" applyFont="1" applyBorder="1" quotePrefix="1">
      <alignment/>
      <protection/>
    </xf>
    <xf numFmtId="0" fontId="0" fillId="0" borderId="0" xfId="0" applyAlignment="1" quotePrefix="1">
      <alignment/>
    </xf>
    <xf numFmtId="0" fontId="11" fillId="0" borderId="58" xfId="0" applyFont="1" applyBorder="1" applyAlignment="1">
      <alignment vertical="center"/>
    </xf>
    <xf numFmtId="0" fontId="15" fillId="0" borderId="33" xfId="57" applyFont="1" applyBorder="1">
      <alignment/>
      <protection/>
    </xf>
    <xf numFmtId="0" fontId="14" fillId="0" borderId="0" xfId="0" applyFont="1" applyAlignment="1">
      <alignment horizontal="center"/>
    </xf>
    <xf numFmtId="0" fontId="14" fillId="0" borderId="0" xfId="0" applyFont="1" applyAlignment="1">
      <alignment/>
    </xf>
    <xf numFmtId="14" fontId="14" fillId="0" borderId="0" xfId="0" applyNumberFormat="1" applyFont="1" applyBorder="1" applyAlignment="1">
      <alignment horizontal="center"/>
    </xf>
    <xf numFmtId="14" fontId="14" fillId="0" borderId="0" xfId="0" applyNumberFormat="1" applyFont="1" applyAlignment="1">
      <alignment horizontal="center"/>
    </xf>
    <xf numFmtId="0" fontId="14" fillId="0" borderId="19" xfId="0" applyFont="1" applyBorder="1" applyAlignment="1">
      <alignment/>
    </xf>
    <xf numFmtId="0" fontId="12" fillId="0" borderId="10" xfId="57" applyFont="1" applyBorder="1" applyAlignment="1">
      <alignment horizontal="left"/>
      <protection/>
    </xf>
    <xf numFmtId="0" fontId="0" fillId="0" borderId="0" xfId="0" applyAlignment="1">
      <alignment/>
    </xf>
    <xf numFmtId="0" fontId="0" fillId="0" borderId="38" xfId="0" applyBorder="1" applyAlignment="1">
      <alignment/>
    </xf>
    <xf numFmtId="0" fontId="1" fillId="0" borderId="0" xfId="0" applyFont="1" applyAlignment="1">
      <alignment/>
    </xf>
    <xf numFmtId="0" fontId="3" fillId="38" borderId="49" xfId="57" applyFont="1" applyFill="1" applyBorder="1">
      <alignment/>
      <protection/>
    </xf>
    <xf numFmtId="0" fontId="1" fillId="0" borderId="45" xfId="57" applyFont="1" applyBorder="1">
      <alignment/>
      <protection/>
    </xf>
    <xf numFmtId="0" fontId="1" fillId="0" borderId="0" xfId="57" applyFont="1" applyBorder="1" applyAlignment="1">
      <alignment horizontal="right"/>
      <protection/>
    </xf>
    <xf numFmtId="0" fontId="1" fillId="0" borderId="23" xfId="57" applyFont="1" applyBorder="1" applyAlignment="1" quotePrefix="1">
      <alignment horizontal="center"/>
      <protection/>
    </xf>
    <xf numFmtId="0" fontId="1" fillId="0" borderId="23" xfId="57" applyBorder="1" applyAlignment="1">
      <alignment horizontal="center"/>
      <protection/>
    </xf>
    <xf numFmtId="0" fontId="1" fillId="0" borderId="23" xfId="57" applyBorder="1" applyAlignment="1" quotePrefix="1">
      <alignment horizontal="center"/>
      <protection/>
    </xf>
    <xf numFmtId="0" fontId="1" fillId="0" borderId="23" xfId="57" applyFont="1" applyBorder="1" applyAlignment="1">
      <alignment horizontal="center"/>
      <protection/>
    </xf>
    <xf numFmtId="0" fontId="1" fillId="0" borderId="50" xfId="57" applyFont="1" applyBorder="1" applyAlignment="1" quotePrefix="1">
      <alignment horizontal="center"/>
      <protection/>
    </xf>
    <xf numFmtId="0" fontId="4" fillId="0" borderId="45" xfId="57" applyFont="1" applyBorder="1">
      <alignment/>
      <protection/>
    </xf>
    <xf numFmtId="0" fontId="1" fillId="0" borderId="19" xfId="57" applyFont="1" applyBorder="1">
      <alignment/>
      <protection/>
    </xf>
    <xf numFmtId="0" fontId="1" fillId="0" borderId="20" xfId="57" applyFont="1" applyBorder="1">
      <alignment/>
      <protection/>
    </xf>
    <xf numFmtId="0" fontId="1" fillId="0" borderId="20" xfId="57" applyFont="1" applyBorder="1" applyAlignment="1">
      <alignment horizontal="center"/>
      <protection/>
    </xf>
    <xf numFmtId="0" fontId="20" fillId="0" borderId="45" xfId="0" applyFont="1" applyBorder="1" applyAlignment="1">
      <alignment/>
    </xf>
    <xf numFmtId="0" fontId="1" fillId="0" borderId="23" xfId="57" applyFill="1" applyBorder="1" applyAlignment="1">
      <alignment horizontal="center"/>
      <protection/>
    </xf>
    <xf numFmtId="0" fontId="1" fillId="0" borderId="20" xfId="57" applyFont="1" applyFill="1" applyBorder="1" applyAlignment="1">
      <alignment horizontal="center"/>
      <protection/>
    </xf>
    <xf numFmtId="0" fontId="4" fillId="0" borderId="27" xfId="0" applyFont="1" applyBorder="1" applyAlignment="1">
      <alignment/>
    </xf>
    <xf numFmtId="18" fontId="19" fillId="0" borderId="45" xfId="57" applyNumberFormat="1" applyFont="1" applyBorder="1" quotePrefix="1">
      <alignment/>
      <protection/>
    </xf>
    <xf numFmtId="0" fontId="1" fillId="0" borderId="23" xfId="57" applyFont="1" applyFill="1" applyBorder="1" applyAlignment="1">
      <alignment horizontal="center"/>
      <protection/>
    </xf>
    <xf numFmtId="0" fontId="4" fillId="0" borderId="22" xfId="57" applyFont="1" applyBorder="1">
      <alignment/>
      <protection/>
    </xf>
    <xf numFmtId="0" fontId="4" fillId="0" borderId="0" xfId="57" applyFont="1" applyBorder="1">
      <alignment/>
      <protection/>
    </xf>
    <xf numFmtId="0" fontId="12" fillId="0" borderId="0" xfId="57" applyFont="1" applyBorder="1">
      <alignment/>
      <protection/>
    </xf>
    <xf numFmtId="0" fontId="1" fillId="0" borderId="20" xfId="57" applyFill="1" applyBorder="1" applyAlignment="1">
      <alignment horizontal="center"/>
      <protection/>
    </xf>
    <xf numFmtId="0" fontId="1" fillId="0" borderId="17" xfId="57" applyFont="1" applyBorder="1" applyAlignment="1">
      <alignment horizontal="center"/>
      <protection/>
    </xf>
    <xf numFmtId="0" fontId="1" fillId="0" borderId="23" xfId="57" applyFont="1" applyFill="1" applyBorder="1" applyAlignment="1" quotePrefix="1">
      <alignment horizontal="center"/>
      <protection/>
    </xf>
    <xf numFmtId="0" fontId="22" fillId="39" borderId="45" xfId="57" applyFont="1" applyFill="1" applyBorder="1">
      <alignment/>
      <protection/>
    </xf>
    <xf numFmtId="0" fontId="22" fillId="39" borderId="0" xfId="57" applyFont="1" applyFill="1" applyBorder="1">
      <alignment/>
      <protection/>
    </xf>
    <xf numFmtId="0" fontId="22" fillId="39" borderId="0" xfId="57" applyFont="1" applyFill="1" applyBorder="1" applyAlignment="1">
      <alignment horizontal="center"/>
      <protection/>
    </xf>
    <xf numFmtId="0" fontId="22" fillId="39" borderId="23" xfId="57" applyFont="1" applyFill="1" applyBorder="1" applyAlignment="1">
      <alignment horizontal="center"/>
      <protection/>
    </xf>
    <xf numFmtId="0" fontId="1" fillId="39" borderId="45" xfId="57" applyFont="1" applyFill="1" applyBorder="1">
      <alignment/>
      <protection/>
    </xf>
    <xf numFmtId="0" fontId="1" fillId="39" borderId="0" xfId="57" applyFont="1" applyFill="1" applyBorder="1">
      <alignment/>
      <protection/>
    </xf>
    <xf numFmtId="0" fontId="1" fillId="39" borderId="0" xfId="57" applyFont="1" applyFill="1" applyBorder="1" applyAlignment="1">
      <alignment horizontal="center"/>
      <protection/>
    </xf>
    <xf numFmtId="0" fontId="1" fillId="39" borderId="23" xfId="57" applyFill="1" applyBorder="1" applyAlignment="1">
      <alignment horizontal="center"/>
      <protection/>
    </xf>
    <xf numFmtId="0" fontId="4" fillId="39" borderId="45" xfId="57" applyFont="1" applyFill="1" applyBorder="1">
      <alignment/>
      <protection/>
    </xf>
    <xf numFmtId="0" fontId="16" fillId="39" borderId="13" xfId="0" applyFont="1" applyFill="1" applyBorder="1" applyAlignment="1">
      <alignment/>
    </xf>
    <xf numFmtId="0" fontId="0" fillId="39" borderId="0" xfId="0" applyFill="1" applyBorder="1" applyAlignment="1">
      <alignment/>
    </xf>
    <xf numFmtId="0" fontId="0" fillId="39" borderId="0" xfId="0" applyFont="1" applyFill="1" applyBorder="1" applyAlignment="1">
      <alignment/>
    </xf>
    <xf numFmtId="0" fontId="4" fillId="39" borderId="0" xfId="57" applyFont="1" applyFill="1" applyBorder="1">
      <alignment/>
      <protection/>
    </xf>
    <xf numFmtId="0" fontId="21" fillId="39" borderId="0" xfId="57" applyFont="1" applyFill="1" applyBorder="1">
      <alignment/>
      <protection/>
    </xf>
    <xf numFmtId="0" fontId="1" fillId="39" borderId="34" xfId="57" applyFont="1" applyFill="1" applyBorder="1">
      <alignment/>
      <protection/>
    </xf>
    <xf numFmtId="0" fontId="1" fillId="0" borderId="44" xfId="57" applyFont="1" applyBorder="1" applyAlignment="1">
      <alignment wrapText="1"/>
      <protection/>
    </xf>
    <xf numFmtId="0" fontId="2" fillId="40" borderId="59" xfId="58" applyFill="1" applyBorder="1" applyAlignment="1">
      <alignment horizontal="center" vertical="top" wrapText="1"/>
      <protection/>
    </xf>
    <xf numFmtId="0" fontId="2" fillId="40" borderId="60" xfId="58" applyFill="1" applyBorder="1" applyAlignment="1">
      <alignment horizontal="center" vertical="top" wrapText="1"/>
      <protection/>
    </xf>
    <xf numFmtId="0" fontId="2" fillId="40" borderId="61" xfId="58" applyFill="1" applyBorder="1" applyAlignment="1">
      <alignment horizontal="center" vertical="top" wrapText="1"/>
      <protection/>
    </xf>
    <xf numFmtId="0" fontId="2" fillId="40" borderId="62" xfId="58" applyFill="1" applyBorder="1" applyAlignment="1">
      <alignment horizontal="center" vertical="top" wrapText="1"/>
      <protection/>
    </xf>
    <xf numFmtId="0" fontId="2" fillId="40" borderId="0" xfId="58" applyFill="1" applyBorder="1" applyAlignment="1">
      <alignment horizontal="center" vertical="top" wrapText="1"/>
      <protection/>
    </xf>
    <xf numFmtId="0" fontId="2" fillId="40" borderId="63" xfId="58" applyFill="1" applyBorder="1" applyAlignment="1">
      <alignment horizontal="center" vertical="top" wrapText="1"/>
      <protection/>
    </xf>
    <xf numFmtId="0" fontId="2" fillId="40" borderId="64" xfId="58" applyFill="1" applyBorder="1" applyAlignment="1">
      <alignment horizontal="center" vertical="top" wrapText="1"/>
      <protection/>
    </xf>
    <xf numFmtId="0" fontId="2" fillId="40" borderId="65" xfId="58" applyFill="1" applyBorder="1" applyAlignment="1">
      <alignment horizontal="center" vertical="top" wrapText="1"/>
      <protection/>
    </xf>
    <xf numFmtId="0" fontId="2" fillId="40" borderId="66" xfId="58" applyFill="1" applyBorder="1" applyAlignment="1">
      <alignment horizontal="center" vertical="top" wrapText="1"/>
      <protection/>
    </xf>
    <xf numFmtId="0" fontId="3" fillId="38" borderId="54" xfId="57" applyFont="1" applyFill="1" applyBorder="1" applyAlignment="1">
      <alignment horizontal="center"/>
      <protection/>
    </xf>
    <xf numFmtId="0" fontId="1" fillId="38" borderId="54" xfId="57" applyFill="1" applyBorder="1" applyAlignment="1">
      <alignment horizontal="center"/>
      <protection/>
    </xf>
    <xf numFmtId="0" fontId="9" fillId="0" borderId="27" xfId="0" applyFont="1" applyFill="1" applyBorder="1" applyAlignment="1">
      <alignment horizontal="center" vertical="center"/>
    </xf>
    <xf numFmtId="0" fontId="0" fillId="0" borderId="29" xfId="0" applyBorder="1" applyAlignment="1">
      <alignment horizontal="center" vertical="center"/>
    </xf>
    <xf numFmtId="0" fontId="9" fillId="0" borderId="41" xfId="0" applyFont="1" applyFill="1" applyBorder="1" applyAlignment="1">
      <alignment horizontal="center" vertical="center"/>
    </xf>
    <xf numFmtId="0" fontId="0" fillId="0" borderId="43" xfId="0" applyBorder="1" applyAlignment="1">
      <alignment/>
    </xf>
    <xf numFmtId="14" fontId="8" fillId="0" borderId="67" xfId="0" applyNumberFormat="1" applyFont="1" applyBorder="1" applyAlignment="1" applyProtection="1">
      <alignment horizontal="center" vertical="center"/>
      <protection locked="0"/>
    </xf>
    <xf numFmtId="14" fontId="8" fillId="0" borderId="42" xfId="0" applyNumberFormat="1" applyFont="1" applyBorder="1" applyAlignment="1" applyProtection="1">
      <alignment horizontal="center" vertical="center"/>
      <protection locked="0"/>
    </xf>
    <xf numFmtId="14" fontId="8" fillId="0" borderId="43" xfId="0" applyNumberFormat="1" applyFont="1" applyBorder="1" applyAlignment="1" applyProtection="1">
      <alignment horizontal="center" vertical="center"/>
      <protection locked="0"/>
    </xf>
    <xf numFmtId="0" fontId="9" fillId="0" borderId="29" xfId="0" applyFont="1" applyFill="1" applyBorder="1" applyAlignment="1">
      <alignment horizontal="center" vertical="center"/>
    </xf>
    <xf numFmtId="17" fontId="0" fillId="0" borderId="68" xfId="0" applyNumberFormat="1" applyBorder="1" applyAlignment="1" quotePrefix="1">
      <alignment horizontal="center"/>
    </xf>
    <xf numFmtId="0" fontId="0" fillId="0" borderId="68" xfId="0" applyBorder="1" applyAlignment="1" quotePrefix="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12" fillId="0" borderId="10" xfId="57" applyFont="1" applyBorder="1" applyAlignment="1">
      <alignment horizontal="left"/>
      <protection/>
    </xf>
    <xf numFmtId="0" fontId="0" fillId="0" borderId="0" xfId="0" applyAlignment="1">
      <alignment/>
    </xf>
    <xf numFmtId="0" fontId="0" fillId="0" borderId="38" xfId="0" applyBorder="1" applyAlignment="1">
      <alignment/>
    </xf>
    <xf numFmtId="0" fontId="58" fillId="0" borderId="10" xfId="57" applyFont="1" applyBorder="1" applyAlignment="1">
      <alignment horizontal="left"/>
      <protection/>
    </xf>
    <xf numFmtId="0" fontId="59" fillId="0" borderId="0" xfId="0" applyFont="1" applyAlignment="1">
      <alignment/>
    </xf>
    <xf numFmtId="0" fontId="59" fillId="0" borderId="38"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241 cortec" xfId="57"/>
    <cellStyle name="Normal_Templat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zoomScalePageLayoutView="0" workbookViewId="0" topLeftCell="A1">
      <selection activeCell="L63" sqref="L63"/>
    </sheetView>
  </sheetViews>
  <sheetFormatPr defaultColWidth="12.00390625" defaultRowHeight="12"/>
  <cols>
    <col min="1" max="1" width="4.8515625" style="83" customWidth="1"/>
    <col min="2" max="10" width="13.28125" style="83" customWidth="1"/>
    <col min="11" max="16384" width="12.00390625" style="83" customWidth="1"/>
  </cols>
  <sheetData>
    <row r="2" ht="15" thickBot="1"/>
    <row r="3" spans="2:10" ht="15" thickTop="1">
      <c r="B3" s="249" t="s">
        <v>23</v>
      </c>
      <c r="C3" s="250"/>
      <c r="D3" s="250"/>
      <c r="E3" s="250"/>
      <c r="F3" s="250"/>
      <c r="G3" s="250"/>
      <c r="H3" s="250"/>
      <c r="I3" s="250"/>
      <c r="J3" s="251"/>
    </row>
    <row r="4" spans="2:10" ht="14.25">
      <c r="B4" s="252" t="s">
        <v>24</v>
      </c>
      <c r="C4" s="253"/>
      <c r="D4" s="253"/>
      <c r="E4" s="253"/>
      <c r="F4" s="253"/>
      <c r="G4" s="253"/>
      <c r="H4" s="253"/>
      <c r="I4" s="253"/>
      <c r="J4" s="254"/>
    </row>
    <row r="5" spans="2:10" ht="14.25">
      <c r="B5" s="252"/>
      <c r="C5" s="253"/>
      <c r="D5" s="253"/>
      <c r="E5" s="253"/>
      <c r="F5" s="253"/>
      <c r="G5" s="253"/>
      <c r="H5" s="253"/>
      <c r="I5" s="253"/>
      <c r="J5" s="254"/>
    </row>
    <row r="6" spans="2:10" ht="14.25">
      <c r="B6" s="252" t="s">
        <v>25</v>
      </c>
      <c r="C6" s="253"/>
      <c r="D6" s="253"/>
      <c r="E6" s="253"/>
      <c r="F6" s="253"/>
      <c r="G6" s="253"/>
      <c r="H6" s="253"/>
      <c r="I6" s="253"/>
      <c r="J6" s="254"/>
    </row>
    <row r="7" spans="2:10" ht="14.25">
      <c r="B7" s="252"/>
      <c r="C7" s="253"/>
      <c r="D7" s="253"/>
      <c r="E7" s="253"/>
      <c r="F7" s="253"/>
      <c r="G7" s="253"/>
      <c r="H7" s="253"/>
      <c r="I7" s="253"/>
      <c r="J7" s="254"/>
    </row>
    <row r="8" spans="2:10" ht="3.75" customHeight="1" thickBot="1">
      <c r="B8" s="255"/>
      <c r="C8" s="256"/>
      <c r="D8" s="256"/>
      <c r="E8" s="256"/>
      <c r="F8" s="256"/>
      <c r="G8" s="256"/>
      <c r="H8" s="256"/>
      <c r="I8" s="256"/>
      <c r="J8" s="257"/>
    </row>
    <row r="9" ht="15" thickTop="1"/>
  </sheetData>
  <sheetProtection password="C927" sheet="1" objects="1" scenarios="1"/>
  <mergeCells count="3">
    <mergeCell ref="B3:J3"/>
    <mergeCell ref="B6:J8"/>
    <mergeCell ref="B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2:Q43"/>
  <sheetViews>
    <sheetView showGridLines="0" showRowColHeaders="0" zoomScalePageLayoutView="0" workbookViewId="0" topLeftCell="A1">
      <pane ySplit="4" topLeftCell="A5" activePane="bottomLeft" state="frozen"/>
      <selection pane="topLeft" activeCell="A1" sqref="A1"/>
      <selection pane="bottomLeft" activeCell="T60" sqref="T60"/>
    </sheetView>
  </sheetViews>
  <sheetFormatPr defaultColWidth="9.140625" defaultRowHeight="12"/>
  <cols>
    <col min="1" max="1" width="18.140625" style="208" customWidth="1"/>
    <col min="2" max="2" width="8.140625" style="208" customWidth="1"/>
    <col min="3" max="3" width="41.421875" style="208" customWidth="1"/>
    <col min="4" max="4" width="6.00390625" style="208" customWidth="1"/>
    <col min="5" max="11" width="3.28125" style="208" customWidth="1"/>
    <col min="12" max="12" width="6.00390625" style="208" customWidth="1"/>
    <col min="13" max="14" width="3.28125" style="208" customWidth="1"/>
    <col min="15" max="16384" width="9.28125" style="208" customWidth="1"/>
  </cols>
  <sheetData>
    <row r="1" ht="13.5" thickBot="1"/>
    <row r="2" spans="1:14" ht="12.75">
      <c r="A2" s="209" t="s">
        <v>26</v>
      </c>
      <c r="B2" s="258" t="s">
        <v>0</v>
      </c>
      <c r="C2" s="259"/>
      <c r="D2" s="259"/>
      <c r="E2" s="259"/>
      <c r="F2" s="259"/>
      <c r="G2" s="259"/>
      <c r="H2" s="259"/>
      <c r="I2" s="259"/>
      <c r="J2" s="259"/>
      <c r="K2" s="259"/>
      <c r="L2" s="259"/>
      <c r="M2" s="259"/>
      <c r="N2" s="259"/>
    </row>
    <row r="3" spans="1:14" ht="12.75">
      <c r="A3" s="210"/>
      <c r="B3" s="7"/>
      <c r="C3" s="211"/>
      <c r="D3" s="212" t="s">
        <v>44</v>
      </c>
      <c r="E3" s="213">
        <v>5</v>
      </c>
      <c r="F3" s="214">
        <v>6</v>
      </c>
      <c r="G3" s="213">
        <v>7</v>
      </c>
      <c r="H3" s="213">
        <v>8</v>
      </c>
      <c r="I3" s="215">
        <v>9</v>
      </c>
      <c r="J3" s="213">
        <v>10</v>
      </c>
      <c r="K3" s="214">
        <v>11</v>
      </c>
      <c r="L3" s="216" t="s">
        <v>32</v>
      </c>
      <c r="M3" s="216">
        <v>14</v>
      </c>
      <c r="N3" s="214">
        <v>15</v>
      </c>
    </row>
    <row r="4" spans="1:14" ht="12.75">
      <c r="A4" s="217" t="s">
        <v>60</v>
      </c>
      <c r="B4" s="2"/>
      <c r="C4" s="2"/>
      <c r="D4" s="6"/>
      <c r="E4" s="5"/>
      <c r="F4" s="161"/>
      <c r="G4" s="6"/>
      <c r="H4" s="5"/>
      <c r="I4" s="161"/>
      <c r="J4" s="6"/>
      <c r="K4" s="5"/>
      <c r="L4" s="161"/>
      <c r="M4" s="5"/>
      <c r="N4" s="6"/>
    </row>
    <row r="5" spans="1:14" ht="12.75">
      <c r="A5" s="210" t="s">
        <v>163</v>
      </c>
      <c r="B5" s="7"/>
      <c r="C5" s="7"/>
      <c r="D5" s="215" t="s">
        <v>148</v>
      </c>
      <c r="E5" s="5"/>
      <c r="F5" s="161"/>
      <c r="G5" s="6"/>
      <c r="H5" s="5"/>
      <c r="I5" s="161"/>
      <c r="J5" s="6"/>
      <c r="K5" s="5"/>
      <c r="L5" s="161"/>
      <c r="M5" s="5"/>
      <c r="N5" s="6"/>
    </row>
    <row r="6" spans="1:14" ht="12.75">
      <c r="A6" s="218"/>
      <c r="B6" s="219"/>
      <c r="C6" s="219"/>
      <c r="D6" s="220"/>
      <c r="E6" s="5"/>
      <c r="F6" s="161"/>
      <c r="G6" s="6"/>
      <c r="H6" s="5"/>
      <c r="I6" s="161"/>
      <c r="J6" s="6"/>
      <c r="K6" s="5"/>
      <c r="L6" s="161"/>
      <c r="M6" s="5"/>
      <c r="N6" s="6"/>
    </row>
    <row r="7" spans="1:14" ht="12.75">
      <c r="A7" s="217" t="s">
        <v>164</v>
      </c>
      <c r="B7" s="7"/>
      <c r="C7" s="245" t="s">
        <v>167</v>
      </c>
      <c r="D7" s="8"/>
      <c r="E7" s="5"/>
      <c r="F7" s="161"/>
      <c r="G7" s="6"/>
      <c r="H7" s="5"/>
      <c r="I7" s="161"/>
      <c r="J7" s="6"/>
      <c r="K7" s="5"/>
      <c r="L7" s="161"/>
      <c r="M7" s="5"/>
      <c r="N7" s="6"/>
    </row>
    <row r="8" spans="1:14" ht="12.75">
      <c r="A8" s="221" t="s">
        <v>150</v>
      </c>
      <c r="B8" s="7"/>
      <c r="C8" s="246" t="s">
        <v>169</v>
      </c>
      <c r="D8" s="8"/>
      <c r="E8" s="222">
        <v>1</v>
      </c>
      <c r="F8" s="161"/>
      <c r="G8" s="6"/>
      <c r="H8" s="5"/>
      <c r="I8" s="161"/>
      <c r="J8" s="6"/>
      <c r="K8" s="5"/>
      <c r="L8" s="161"/>
      <c r="M8" s="5"/>
      <c r="N8" s="6"/>
    </row>
    <row r="9" spans="1:14" ht="12.75">
      <c r="A9" s="221" t="s">
        <v>150</v>
      </c>
      <c r="B9" s="7"/>
      <c r="C9" s="246" t="s">
        <v>170</v>
      </c>
      <c r="D9" s="8"/>
      <c r="E9" s="222">
        <v>2</v>
      </c>
      <c r="F9" s="161"/>
      <c r="G9" s="6"/>
      <c r="H9" s="5"/>
      <c r="I9" s="161"/>
      <c r="J9" s="6"/>
      <c r="K9" s="5"/>
      <c r="L9" s="161"/>
      <c r="M9" s="5"/>
      <c r="N9" s="6"/>
    </row>
    <row r="10" spans="1:14" ht="12.75">
      <c r="A10" s="221" t="s">
        <v>150</v>
      </c>
      <c r="B10" s="7"/>
      <c r="C10" s="246" t="s">
        <v>171</v>
      </c>
      <c r="D10" s="8"/>
      <c r="E10" s="222">
        <v>3</v>
      </c>
      <c r="F10" s="161"/>
      <c r="G10" s="6"/>
      <c r="H10" s="5"/>
      <c r="I10" s="161"/>
      <c r="J10" s="6"/>
      <c r="K10" s="5"/>
      <c r="L10" s="161"/>
      <c r="M10" s="5"/>
      <c r="N10" s="6"/>
    </row>
    <row r="11" spans="1:14" ht="12.75">
      <c r="A11" s="221" t="s">
        <v>150</v>
      </c>
      <c r="B11" s="7"/>
      <c r="C11" s="246" t="s">
        <v>172</v>
      </c>
      <c r="D11" s="8"/>
      <c r="E11" s="222">
        <v>4</v>
      </c>
      <c r="F11" s="161"/>
      <c r="G11" s="6"/>
      <c r="H11" s="5"/>
      <c r="I11" s="161"/>
      <c r="J11" s="6"/>
      <c r="K11" s="5"/>
      <c r="L11" s="161"/>
      <c r="M11" s="5"/>
      <c r="N11" s="6"/>
    </row>
    <row r="12" spans="1:14" ht="12.75">
      <c r="A12" s="218"/>
      <c r="B12" s="219"/>
      <c r="C12" s="219"/>
      <c r="D12" s="220"/>
      <c r="E12" s="223"/>
      <c r="F12" s="161"/>
      <c r="G12" s="6"/>
      <c r="H12" s="5"/>
      <c r="I12" s="161"/>
      <c r="J12" s="6"/>
      <c r="K12" s="5"/>
      <c r="L12" s="161"/>
      <c r="M12" s="5"/>
      <c r="N12" s="6"/>
    </row>
    <row r="13" spans="1:14" ht="12.75">
      <c r="A13" s="224" t="s">
        <v>43</v>
      </c>
      <c r="B13" s="7"/>
      <c r="C13" s="7"/>
      <c r="D13" s="8"/>
      <c r="E13" s="9"/>
      <c r="F13" s="161"/>
      <c r="G13" s="6"/>
      <c r="H13" s="5"/>
      <c r="I13" s="161"/>
      <c r="J13" s="6"/>
      <c r="K13" s="5"/>
      <c r="L13" s="161"/>
      <c r="M13" s="5"/>
      <c r="N13" s="6"/>
    </row>
    <row r="14" spans="1:14" ht="12.75">
      <c r="A14" s="225" t="s">
        <v>155</v>
      </c>
      <c r="B14" s="7"/>
      <c r="C14" s="7"/>
      <c r="D14" s="8"/>
      <c r="E14" s="9"/>
      <c r="F14" s="226">
        <v>1</v>
      </c>
      <c r="G14" s="6"/>
      <c r="H14" s="5"/>
      <c r="I14" s="161"/>
      <c r="J14" s="6"/>
      <c r="K14" s="5"/>
      <c r="L14" s="161"/>
      <c r="M14" s="5"/>
      <c r="N14" s="6"/>
    </row>
    <row r="15" spans="1:14" ht="12.75">
      <c r="A15" s="225" t="s">
        <v>156</v>
      </c>
      <c r="B15" s="7"/>
      <c r="C15" s="7"/>
      <c r="D15" s="8"/>
      <c r="E15" s="9"/>
      <c r="F15" s="226">
        <v>2</v>
      </c>
      <c r="G15" s="6"/>
      <c r="H15" s="5"/>
      <c r="I15" s="161"/>
      <c r="J15" s="6"/>
      <c r="K15" s="5"/>
      <c r="L15" s="161"/>
      <c r="M15" s="5"/>
      <c r="N15" s="6"/>
    </row>
    <row r="16" spans="1:14" ht="12.75">
      <c r="A16" s="218"/>
      <c r="B16" s="219"/>
      <c r="C16" s="219"/>
      <c r="D16" s="220"/>
      <c r="E16" s="223"/>
      <c r="F16" s="223"/>
      <c r="G16" s="6"/>
      <c r="H16" s="5"/>
      <c r="I16" s="161"/>
      <c r="J16" s="6"/>
      <c r="K16" s="5"/>
      <c r="L16" s="161"/>
      <c r="M16" s="5"/>
      <c r="N16" s="6"/>
    </row>
    <row r="17" spans="1:14" ht="12.75">
      <c r="A17" s="227" t="s">
        <v>3</v>
      </c>
      <c r="B17" s="7"/>
      <c r="C17" s="7"/>
      <c r="D17" s="8"/>
      <c r="E17" s="9"/>
      <c r="F17" s="9"/>
      <c r="G17" s="6"/>
      <c r="H17" s="5"/>
      <c r="I17" s="161"/>
      <c r="J17" s="6"/>
      <c r="K17" s="5"/>
      <c r="L17" s="161"/>
      <c r="M17" s="5"/>
      <c r="N17" s="6"/>
    </row>
    <row r="18" spans="1:14" ht="12.75">
      <c r="A18" s="210" t="s">
        <v>142</v>
      </c>
      <c r="B18" s="7"/>
      <c r="C18" s="7"/>
      <c r="D18" s="8"/>
      <c r="E18" s="9"/>
      <c r="F18" s="9"/>
      <c r="G18" s="226">
        <v>1</v>
      </c>
      <c r="H18" s="5"/>
      <c r="I18" s="161"/>
      <c r="J18" s="6"/>
      <c r="K18" s="5"/>
      <c r="L18" s="161"/>
      <c r="M18" s="5"/>
      <c r="N18" s="6"/>
    </row>
    <row r="19" spans="1:14" ht="12.75">
      <c r="A19" s="218"/>
      <c r="B19" s="219"/>
      <c r="C19" s="219"/>
      <c r="D19" s="220"/>
      <c r="E19" s="223"/>
      <c r="F19" s="223"/>
      <c r="G19" s="223"/>
      <c r="H19" s="5"/>
      <c r="I19" s="161"/>
      <c r="J19" s="6"/>
      <c r="K19" s="5"/>
      <c r="L19" s="161"/>
      <c r="M19" s="5"/>
      <c r="N19" s="6"/>
    </row>
    <row r="20" spans="1:14" ht="12.75">
      <c r="A20" s="228" t="s">
        <v>157</v>
      </c>
      <c r="B20" s="7"/>
      <c r="C20" s="7"/>
      <c r="D20" s="8"/>
      <c r="E20" s="9"/>
      <c r="F20" s="9"/>
      <c r="G20" s="9"/>
      <c r="H20" s="5"/>
      <c r="I20" s="161"/>
      <c r="J20" s="6"/>
      <c r="K20" s="5"/>
      <c r="L20" s="161"/>
      <c r="M20" s="5"/>
      <c r="N20" s="6"/>
    </row>
    <row r="21" spans="1:17" ht="12.75">
      <c r="A21" s="210" t="s">
        <v>158</v>
      </c>
      <c r="B21" s="229"/>
      <c r="C21" s="229"/>
      <c r="D21" s="8"/>
      <c r="E21" s="9"/>
      <c r="F21" s="9"/>
      <c r="G21" s="9"/>
      <c r="H21" s="226" t="s">
        <v>1</v>
      </c>
      <c r="I21" s="161"/>
      <c r="J21" s="6"/>
      <c r="K21" s="5"/>
      <c r="L21" s="161"/>
      <c r="M21" s="5"/>
      <c r="N21" s="6"/>
      <c r="Q21" s="201"/>
    </row>
    <row r="22" spans="1:14" ht="12.75">
      <c r="A22" s="218"/>
      <c r="B22" s="219"/>
      <c r="C22" s="219"/>
      <c r="D22" s="220"/>
      <c r="E22" s="223"/>
      <c r="F22" s="223"/>
      <c r="G22" s="223"/>
      <c r="H22" s="223"/>
      <c r="I22" s="161"/>
      <c r="J22" s="6"/>
      <c r="K22" s="5"/>
      <c r="L22" s="161"/>
      <c r="M22" s="5"/>
      <c r="N22" s="6"/>
    </row>
    <row r="23" spans="1:14" ht="12.75">
      <c r="A23" s="241" t="s">
        <v>168</v>
      </c>
      <c r="B23" s="247"/>
      <c r="C23" s="238"/>
      <c r="D23" s="8"/>
      <c r="E23" s="9"/>
      <c r="F23" s="9"/>
      <c r="G23" s="9"/>
      <c r="H23" s="9"/>
      <c r="I23" s="161"/>
      <c r="J23" s="6"/>
      <c r="K23" s="5"/>
      <c r="L23" s="161"/>
      <c r="M23" s="5"/>
      <c r="N23" s="6"/>
    </row>
    <row r="24" spans="1:14" ht="12.75">
      <c r="A24" s="237" t="s">
        <v>143</v>
      </c>
      <c r="B24" s="238"/>
      <c r="C24" s="238"/>
      <c r="D24" s="8"/>
      <c r="E24" s="9"/>
      <c r="F24" s="9"/>
      <c r="G24" s="9"/>
      <c r="H24" s="9"/>
      <c r="I24" s="226">
        <v>1</v>
      </c>
      <c r="J24" s="6"/>
      <c r="K24" s="5"/>
      <c r="L24" s="161"/>
      <c r="M24" s="5"/>
      <c r="N24" s="6"/>
    </row>
    <row r="25" spans="1:14" ht="12.75">
      <c r="A25" s="210" t="s">
        <v>159</v>
      </c>
      <c r="B25" s="7"/>
      <c r="C25" s="7"/>
      <c r="D25" s="8"/>
      <c r="E25" s="9"/>
      <c r="F25" s="9"/>
      <c r="G25" s="9"/>
      <c r="H25" s="9"/>
      <c r="I25" s="226">
        <v>2</v>
      </c>
      <c r="J25" s="6"/>
      <c r="K25" s="5"/>
      <c r="L25" s="161"/>
      <c r="M25" s="5"/>
      <c r="N25" s="6"/>
    </row>
    <row r="26" spans="1:14" ht="12.75">
      <c r="A26" s="218"/>
      <c r="B26" s="219"/>
      <c r="C26" s="219"/>
      <c r="D26" s="220"/>
      <c r="E26" s="223"/>
      <c r="F26" s="223"/>
      <c r="G26" s="223"/>
      <c r="H26" s="223"/>
      <c r="I26" s="223"/>
      <c r="J26" s="6"/>
      <c r="K26" s="5"/>
      <c r="L26" s="161"/>
      <c r="M26" s="5"/>
      <c r="N26" s="6"/>
    </row>
    <row r="27" spans="1:14" ht="12.75">
      <c r="A27" s="217" t="s">
        <v>54</v>
      </c>
      <c r="B27" s="7"/>
      <c r="C27" s="7"/>
      <c r="D27" s="8"/>
      <c r="E27" s="9"/>
      <c r="F27" s="9"/>
      <c r="G27" s="9"/>
      <c r="H27" s="9"/>
      <c r="I27" s="9"/>
      <c r="J27" s="6"/>
      <c r="K27" s="5"/>
      <c r="L27" s="161"/>
      <c r="M27" s="5"/>
      <c r="N27" s="6"/>
    </row>
    <row r="28" spans="1:14" ht="12.75">
      <c r="A28" s="210" t="s">
        <v>144</v>
      </c>
      <c r="B28" s="7"/>
      <c r="C28" s="7"/>
      <c r="D28" s="8"/>
      <c r="E28" s="9"/>
      <c r="F28" s="9"/>
      <c r="G28" s="9"/>
      <c r="H28" s="9"/>
      <c r="I28" s="9"/>
      <c r="J28" s="226" t="s">
        <v>1</v>
      </c>
      <c r="K28" s="5"/>
      <c r="L28" s="161"/>
      <c r="M28" s="5"/>
      <c r="N28" s="6"/>
    </row>
    <row r="29" spans="1:14" ht="12.75">
      <c r="A29" s="218"/>
      <c r="B29" s="219"/>
      <c r="C29" s="219"/>
      <c r="D29" s="220"/>
      <c r="E29" s="223"/>
      <c r="F29" s="223"/>
      <c r="G29" s="223"/>
      <c r="H29" s="223"/>
      <c r="I29" s="223"/>
      <c r="J29" s="223"/>
      <c r="K29" s="5"/>
      <c r="L29" s="161"/>
      <c r="M29" s="5"/>
      <c r="N29" s="6"/>
    </row>
    <row r="30" spans="1:14" ht="12.75">
      <c r="A30" s="217" t="s">
        <v>6</v>
      </c>
      <c r="B30" s="7"/>
      <c r="C30" s="7"/>
      <c r="D30" s="8"/>
      <c r="E30" s="8"/>
      <c r="F30" s="8"/>
      <c r="G30" s="8"/>
      <c r="H30" s="8"/>
      <c r="I30" s="8"/>
      <c r="J30" s="8"/>
      <c r="K30" s="5"/>
      <c r="L30" s="161"/>
      <c r="M30" s="5"/>
      <c r="N30" s="6"/>
    </row>
    <row r="31" spans="1:14" ht="12.75" hidden="1">
      <c r="A31" s="233" t="s">
        <v>145</v>
      </c>
      <c r="B31" s="234"/>
      <c r="C31" s="234"/>
      <c r="D31" s="235"/>
      <c r="E31" s="235"/>
      <c r="F31" s="235"/>
      <c r="G31" s="235"/>
      <c r="H31" s="235"/>
      <c r="I31" s="235"/>
      <c r="J31" s="235"/>
      <c r="K31" s="236">
        <v>0</v>
      </c>
      <c r="L31" s="161"/>
      <c r="M31" s="5"/>
      <c r="N31" s="6"/>
    </row>
    <row r="32" spans="1:14" ht="12.75">
      <c r="A32" s="237" t="s">
        <v>175</v>
      </c>
      <c r="B32" s="238"/>
      <c r="C32" s="238"/>
      <c r="D32" s="239"/>
      <c r="E32" s="239"/>
      <c r="F32" s="239"/>
      <c r="G32" s="239"/>
      <c r="H32" s="239"/>
      <c r="I32" s="239"/>
      <c r="J32" s="239"/>
      <c r="K32" s="240">
        <v>1</v>
      </c>
      <c r="L32" s="161"/>
      <c r="M32" s="5"/>
      <c r="N32" s="6"/>
    </row>
    <row r="33" spans="1:14" ht="12.75">
      <c r="A33" s="218"/>
      <c r="B33" s="219"/>
      <c r="C33" s="219"/>
      <c r="D33" s="220"/>
      <c r="E33" s="220"/>
      <c r="F33" s="220"/>
      <c r="G33" s="220"/>
      <c r="H33" s="220"/>
      <c r="I33" s="220"/>
      <c r="J33" s="220"/>
      <c r="K33" s="223"/>
      <c r="L33" s="161"/>
      <c r="M33" s="5"/>
      <c r="N33" s="6"/>
    </row>
    <row r="34" spans="1:14" ht="12.75">
      <c r="A34" s="224" t="s">
        <v>45</v>
      </c>
      <c r="B34" s="7"/>
      <c r="C34" s="7"/>
      <c r="D34" s="8"/>
      <c r="E34" s="8"/>
      <c r="F34" s="8"/>
      <c r="G34" s="8"/>
      <c r="H34" s="8"/>
      <c r="I34" s="8"/>
      <c r="J34" s="8"/>
      <c r="K34" s="9"/>
      <c r="L34" s="161"/>
      <c r="M34" s="5"/>
      <c r="N34" s="6"/>
    </row>
    <row r="35" spans="1:14" ht="12.75">
      <c r="A35" s="210" t="s">
        <v>146</v>
      </c>
      <c r="B35" s="7"/>
      <c r="C35" s="7"/>
      <c r="D35" s="8"/>
      <c r="E35" s="8"/>
      <c r="F35" s="8"/>
      <c r="G35" s="8"/>
      <c r="H35" s="8"/>
      <c r="I35" s="8"/>
      <c r="J35" s="8"/>
      <c r="K35" s="9"/>
      <c r="L35" s="232" t="s">
        <v>147</v>
      </c>
      <c r="M35" s="5"/>
      <c r="N35" s="6"/>
    </row>
    <row r="36" spans="1:14" ht="12.75">
      <c r="A36" s="218"/>
      <c r="B36" s="219"/>
      <c r="C36" s="219"/>
      <c r="D36" s="220"/>
      <c r="E36" s="220"/>
      <c r="F36" s="220"/>
      <c r="G36" s="220"/>
      <c r="H36" s="220"/>
      <c r="I36" s="220"/>
      <c r="J36" s="220"/>
      <c r="K36" s="223"/>
      <c r="L36" s="230"/>
      <c r="M36" s="5"/>
      <c r="N36" s="6"/>
    </row>
    <row r="37" spans="1:14" ht="12.75">
      <c r="A37" s="217" t="s">
        <v>59</v>
      </c>
      <c r="B37" s="7"/>
      <c r="C37" s="7"/>
      <c r="D37" s="8"/>
      <c r="E37" s="8"/>
      <c r="F37" s="8"/>
      <c r="G37" s="8"/>
      <c r="H37" s="8"/>
      <c r="I37" s="8"/>
      <c r="J37" s="8"/>
      <c r="K37" s="8"/>
      <c r="L37" s="160"/>
      <c r="M37" s="5"/>
      <c r="N37" s="6"/>
    </row>
    <row r="38" spans="1:14" ht="12.75">
      <c r="A38" s="210" t="s">
        <v>16</v>
      </c>
      <c r="B38" s="7"/>
      <c r="C38" s="7"/>
      <c r="D38" s="8"/>
      <c r="E38" s="8"/>
      <c r="F38" s="8"/>
      <c r="G38" s="8"/>
      <c r="H38" s="8"/>
      <c r="I38" s="8"/>
      <c r="J38" s="8"/>
      <c r="K38" s="8"/>
      <c r="L38" s="8"/>
      <c r="M38" s="215">
        <v>0</v>
      </c>
      <c r="N38" s="6"/>
    </row>
    <row r="39" spans="1:14" ht="12.75">
      <c r="A39" s="210" t="s">
        <v>31</v>
      </c>
      <c r="B39" s="7"/>
      <c r="C39" s="7"/>
      <c r="D39" s="8"/>
      <c r="E39" s="8"/>
      <c r="F39" s="8"/>
      <c r="G39" s="8"/>
      <c r="H39" s="8"/>
      <c r="I39" s="8"/>
      <c r="J39" s="8"/>
      <c r="K39" s="8"/>
      <c r="L39" s="8"/>
      <c r="M39" s="215" t="s">
        <v>1</v>
      </c>
      <c r="N39" s="6"/>
    </row>
    <row r="40" spans="1:14" ht="12.75">
      <c r="A40" s="218"/>
      <c r="B40" s="219"/>
      <c r="C40" s="219"/>
      <c r="D40" s="220"/>
      <c r="E40" s="220"/>
      <c r="F40" s="220"/>
      <c r="G40" s="220"/>
      <c r="H40" s="220"/>
      <c r="I40" s="220"/>
      <c r="J40" s="220"/>
      <c r="K40" s="220"/>
      <c r="L40" s="220"/>
      <c r="M40" s="220"/>
      <c r="N40" s="6"/>
    </row>
    <row r="41" spans="1:14" ht="12.75">
      <c r="A41" s="217" t="s">
        <v>47</v>
      </c>
      <c r="B41" s="7"/>
      <c r="C41" s="7"/>
      <c r="D41" s="8"/>
      <c r="E41" s="8"/>
      <c r="F41" s="8"/>
      <c r="G41" s="8"/>
      <c r="H41" s="8"/>
      <c r="I41" s="8"/>
      <c r="J41" s="8"/>
      <c r="K41" s="8"/>
      <c r="N41" s="6"/>
    </row>
    <row r="42" spans="1:14" ht="12.75">
      <c r="A42" s="210" t="s">
        <v>46</v>
      </c>
      <c r="B42" s="7"/>
      <c r="C42" s="7"/>
      <c r="D42" s="8"/>
      <c r="E42" s="8"/>
      <c r="F42" s="8"/>
      <c r="G42" s="8"/>
      <c r="H42" s="8"/>
      <c r="I42" s="8"/>
      <c r="J42" s="8"/>
      <c r="K42" s="8"/>
      <c r="N42" s="226" t="s">
        <v>1</v>
      </c>
    </row>
    <row r="43" spans="1:14" ht="12.75">
      <c r="A43" s="218"/>
      <c r="B43" s="219"/>
      <c r="C43" s="219"/>
      <c r="D43" s="220"/>
      <c r="E43" s="220"/>
      <c r="F43" s="220"/>
      <c r="G43" s="220"/>
      <c r="H43" s="220"/>
      <c r="I43" s="220"/>
      <c r="J43" s="220"/>
      <c r="K43" s="220"/>
      <c r="L43" s="220"/>
      <c r="M43" s="220"/>
      <c r="N43" s="231"/>
    </row>
  </sheetData>
  <sheetProtection/>
  <mergeCells count="1">
    <mergeCell ref="B2:N2"/>
  </mergeCells>
  <printOptions/>
  <pageMargins left="0.75" right="0.75" top="1" bottom="1" header="0.5" footer="0.5"/>
  <pageSetup horizontalDpi="600" verticalDpi="600" orientation="portrait" paperSize="9"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T38"/>
  <sheetViews>
    <sheetView showGridLines="0" showRowColHeaders="0" tabSelected="1" zoomScalePageLayoutView="0" workbookViewId="0" topLeftCell="A1">
      <pane ySplit="5" topLeftCell="A6" activePane="bottomLeft" state="frozen"/>
      <selection pane="topLeft" activeCell="A1" sqref="A1"/>
      <selection pane="bottomLeft" activeCell="L39" sqref="L39"/>
    </sheetView>
  </sheetViews>
  <sheetFormatPr defaultColWidth="9.140625" defaultRowHeight="12"/>
  <cols>
    <col min="1" max="6" width="10.7109375" style="0" customWidth="1"/>
    <col min="7" max="7" width="14.421875" style="0" customWidth="1"/>
    <col min="8" max="8" width="13.421875" style="0" customWidth="1"/>
    <col min="9" max="9" width="7.8515625" style="0" customWidth="1"/>
    <col min="10" max="15" width="5.00390625" style="0" customWidth="1"/>
    <col min="16" max="16" width="3.28125" style="0" customWidth="1"/>
    <col min="17" max="17" width="3.7109375" style="0" customWidth="1"/>
    <col min="18" max="20" width="5.00390625" style="0" customWidth="1"/>
  </cols>
  <sheetData>
    <row r="1" spans="1:20" ht="18.75" thickTop="1">
      <c r="A1" s="100"/>
      <c r="B1" s="98"/>
      <c r="C1" s="98"/>
      <c r="D1" s="98"/>
      <c r="E1" s="98"/>
      <c r="F1" s="98"/>
      <c r="G1" s="98"/>
      <c r="H1" s="98"/>
      <c r="I1" s="98"/>
      <c r="J1" s="98"/>
      <c r="K1" s="98"/>
      <c r="L1" s="98"/>
      <c r="M1" s="98"/>
      <c r="N1" s="98"/>
      <c r="O1" s="98"/>
      <c r="P1" s="98"/>
      <c r="Q1" s="98"/>
      <c r="R1" s="98"/>
      <c r="S1" s="98"/>
      <c r="T1" s="11"/>
    </row>
    <row r="2" spans="1:20" ht="15" hidden="1">
      <c r="A2" s="12" t="s">
        <v>28</v>
      </c>
      <c r="B2" s="13"/>
      <c r="C2" s="13"/>
      <c r="D2" s="13"/>
      <c r="E2" s="13"/>
      <c r="F2" s="13"/>
      <c r="G2" s="13"/>
      <c r="H2" s="13"/>
      <c r="I2" s="13"/>
      <c r="J2" s="13"/>
      <c r="K2" s="13"/>
      <c r="L2" s="13"/>
      <c r="M2" s="13"/>
      <c r="N2" s="13"/>
      <c r="O2" s="13"/>
      <c r="P2" s="13"/>
      <c r="Q2" s="13"/>
      <c r="R2" s="13"/>
      <c r="S2" s="13"/>
      <c r="T2" s="14"/>
    </row>
    <row r="3" spans="1:20" ht="16.5" hidden="1" thickBot="1">
      <c r="A3" s="264"/>
      <c r="B3" s="265"/>
      <c r="C3" s="265"/>
      <c r="D3" s="265"/>
      <c r="E3" s="265"/>
      <c r="F3" s="266"/>
      <c r="G3" s="15" t="s">
        <v>9</v>
      </c>
      <c r="H3" s="16"/>
      <c r="I3" s="16"/>
      <c r="J3" s="16"/>
      <c r="K3" s="16"/>
      <c r="L3" s="16"/>
      <c r="M3" s="16"/>
      <c r="N3" s="16"/>
      <c r="O3" s="16"/>
      <c r="P3" s="16"/>
      <c r="Q3" s="16"/>
      <c r="R3" s="16"/>
      <c r="S3" s="17"/>
      <c r="T3" s="14"/>
    </row>
    <row r="4" spans="1:20" ht="12" thickBot="1">
      <c r="A4" s="18"/>
      <c r="B4" s="13"/>
      <c r="C4" s="13"/>
      <c r="D4" s="13"/>
      <c r="E4" s="13"/>
      <c r="F4" s="13"/>
      <c r="G4" s="19"/>
      <c r="H4" s="20" t="s">
        <v>8</v>
      </c>
      <c r="I4" s="20" t="s">
        <v>39</v>
      </c>
      <c r="J4" s="20">
        <v>6</v>
      </c>
      <c r="K4" s="21">
        <v>7</v>
      </c>
      <c r="L4" s="21">
        <v>8</v>
      </c>
      <c r="M4" s="20">
        <v>9</v>
      </c>
      <c r="N4" s="20">
        <v>10</v>
      </c>
      <c r="O4" s="20">
        <v>11</v>
      </c>
      <c r="P4" s="268" t="s">
        <v>32</v>
      </c>
      <c r="Q4" s="269"/>
      <c r="R4" s="20">
        <v>14</v>
      </c>
      <c r="S4" s="99">
        <v>15</v>
      </c>
      <c r="T4" s="22"/>
    </row>
    <row r="5" spans="1:20" ht="18" customHeight="1" thickBot="1">
      <c r="A5" s="270"/>
      <c r="B5" s="271"/>
      <c r="C5" s="271"/>
      <c r="D5" s="271"/>
      <c r="E5" s="271"/>
      <c r="F5" s="271"/>
      <c r="G5" s="272"/>
      <c r="H5" s="23" t="str">
        <f>$H$7</f>
        <v>P154</v>
      </c>
      <c r="I5" s="23" t="str">
        <f>H12</f>
        <v>1</v>
      </c>
      <c r="J5" s="23" t="str">
        <f>$H$14</f>
        <v>1</v>
      </c>
      <c r="K5" s="23" t="str">
        <f>$H$16</f>
        <v>1</v>
      </c>
      <c r="L5" s="23" t="str">
        <f>$H$18</f>
        <v>A</v>
      </c>
      <c r="M5" s="23" t="str">
        <f>$H$20</f>
        <v>1</v>
      </c>
      <c r="N5" s="23" t="str">
        <f>$H$22</f>
        <v>A</v>
      </c>
      <c r="O5" s="24" t="str">
        <f>$H$25</f>
        <v>1</v>
      </c>
      <c r="P5" s="262" t="str">
        <f>$H$27</f>
        <v>01</v>
      </c>
      <c r="Q5" s="263"/>
      <c r="R5" s="58" t="str">
        <f>$H$29</f>
        <v>0</v>
      </c>
      <c r="S5" s="58" t="str">
        <f>$H$31</f>
        <v>A</v>
      </c>
      <c r="T5" s="25"/>
    </row>
    <row r="6" spans="1:20" ht="15.75">
      <c r="A6" s="158" t="s">
        <v>60</v>
      </c>
      <c r="B6" s="13"/>
      <c r="C6" s="13"/>
      <c r="D6" s="13"/>
      <c r="E6" s="13"/>
      <c r="F6" s="13"/>
      <c r="G6" s="13"/>
      <c r="H6" s="176"/>
      <c r="I6" s="166"/>
      <c r="J6" s="108"/>
      <c r="K6" s="113"/>
      <c r="L6" s="105"/>
      <c r="M6" s="122"/>
      <c r="N6" s="129"/>
      <c r="O6" s="130"/>
      <c r="P6" s="108"/>
      <c r="Q6" s="134"/>
      <c r="R6" s="137"/>
      <c r="S6" s="138"/>
      <c r="T6" s="14"/>
    </row>
    <row r="7" spans="1:20" ht="13.5" customHeight="1">
      <c r="A7" s="18"/>
      <c r="B7" s="13"/>
      <c r="C7" s="13"/>
      <c r="D7" s="13"/>
      <c r="E7" s="13"/>
      <c r="F7" s="13"/>
      <c r="G7" s="13"/>
      <c r="H7" s="260" t="str">
        <f>VLOOKUP(Database!$B$1,Database!$A$2:$C$4,3,FALSE)</f>
        <v>P154</v>
      </c>
      <c r="I7" s="172"/>
      <c r="J7" s="109"/>
      <c r="K7" s="114"/>
      <c r="L7" s="106"/>
      <c r="M7" s="123"/>
      <c r="N7" s="128"/>
      <c r="O7" s="107"/>
      <c r="P7" s="109"/>
      <c r="Q7" s="124"/>
      <c r="R7" s="128"/>
      <c r="S7" s="131"/>
      <c r="T7" s="14"/>
    </row>
    <row r="8" spans="1:20" ht="9" customHeight="1">
      <c r="A8" s="18"/>
      <c r="B8" s="13"/>
      <c r="C8" s="13"/>
      <c r="D8" s="13"/>
      <c r="E8" s="13"/>
      <c r="F8" s="13"/>
      <c r="G8" s="13"/>
      <c r="H8" s="267"/>
      <c r="I8" s="172"/>
      <c r="J8" s="109"/>
      <c r="K8" s="114"/>
      <c r="L8" s="106"/>
      <c r="M8" s="123"/>
      <c r="N8" s="128"/>
      <c r="O8" s="107"/>
      <c r="P8" s="109"/>
      <c r="Q8" s="124"/>
      <c r="R8" s="128"/>
      <c r="S8" s="131"/>
      <c r="T8" s="14"/>
    </row>
    <row r="9" spans="1:20" ht="18">
      <c r="A9" s="158" t="s">
        <v>164</v>
      </c>
      <c r="B9" s="13"/>
      <c r="C9" s="13"/>
      <c r="D9" s="13"/>
      <c r="E9" s="13"/>
      <c r="F9" s="13"/>
      <c r="G9" s="13"/>
      <c r="H9" s="132"/>
      <c r="I9" s="174"/>
      <c r="J9" s="110"/>
      <c r="K9" s="114"/>
      <c r="L9" s="106"/>
      <c r="M9" s="123"/>
      <c r="N9" s="128"/>
      <c r="O9" s="107"/>
      <c r="P9" s="109"/>
      <c r="Q9" s="124"/>
      <c r="R9" s="128"/>
      <c r="S9" s="131"/>
      <c r="T9" s="14"/>
    </row>
    <row r="10" spans="1:20" ht="23.25" customHeight="1">
      <c r="A10" s="18"/>
      <c r="B10" s="13"/>
      <c r="C10" s="13"/>
      <c r="D10" s="13"/>
      <c r="E10" s="13"/>
      <c r="F10" s="13"/>
      <c r="G10" s="13"/>
      <c r="H10" s="172"/>
      <c r="I10" s="174"/>
      <c r="J10" s="110"/>
      <c r="K10" s="114"/>
      <c r="L10" s="106"/>
      <c r="M10" s="123"/>
      <c r="N10" s="128"/>
      <c r="O10" s="107"/>
      <c r="P10" s="109"/>
      <c r="Q10" s="124"/>
      <c r="R10" s="128"/>
      <c r="S10" s="131"/>
      <c r="T10" s="14"/>
    </row>
    <row r="11" spans="1:20" ht="18">
      <c r="A11" s="158" t="s">
        <v>167</v>
      </c>
      <c r="B11" s="13"/>
      <c r="C11" s="13"/>
      <c r="D11" s="13"/>
      <c r="E11" s="13"/>
      <c r="F11" s="13"/>
      <c r="G11" s="13"/>
      <c r="H11" s="173"/>
      <c r="I11" s="174"/>
      <c r="J11" s="110"/>
      <c r="K11" s="114"/>
      <c r="L11" s="106"/>
      <c r="M11" s="123"/>
      <c r="N11" s="128"/>
      <c r="O11" s="107"/>
      <c r="P11" s="109"/>
      <c r="Q11" s="124"/>
      <c r="R11" s="128"/>
      <c r="S11" s="131"/>
      <c r="T11" s="14"/>
    </row>
    <row r="12" spans="1:20" ht="42.75" customHeight="1">
      <c r="A12" s="18"/>
      <c r="B12" s="13"/>
      <c r="C12" s="13"/>
      <c r="D12" s="13"/>
      <c r="E12" s="13"/>
      <c r="F12" s="13"/>
      <c r="G12" s="13"/>
      <c r="H12" s="31" t="str">
        <f>VLOOKUP(Database!$B$13,Database!$A$14:$C$17,3,FALSE)</f>
        <v>1</v>
      </c>
      <c r="I12" s="175"/>
      <c r="J12" s="110"/>
      <c r="K12" s="114"/>
      <c r="L12" s="106"/>
      <c r="M12" s="123"/>
      <c r="N12" s="128"/>
      <c r="O12" s="107"/>
      <c r="P12" s="109"/>
      <c r="Q12" s="124"/>
      <c r="R12" s="128"/>
      <c r="S12" s="131"/>
      <c r="T12" s="14"/>
    </row>
    <row r="13" spans="1:20" ht="15.75" customHeight="1">
      <c r="A13" s="158" t="s">
        <v>174</v>
      </c>
      <c r="B13" s="13"/>
      <c r="C13" s="13"/>
      <c r="D13" s="13"/>
      <c r="E13" s="13"/>
      <c r="F13" s="13"/>
      <c r="G13" s="13"/>
      <c r="H13" s="112"/>
      <c r="I13" s="110"/>
      <c r="J13" s="110"/>
      <c r="K13" s="114"/>
      <c r="L13" s="106"/>
      <c r="M13" s="123"/>
      <c r="N13" s="128"/>
      <c r="O13" s="107"/>
      <c r="P13" s="109"/>
      <c r="Q13" s="124"/>
      <c r="R13" s="128"/>
      <c r="S13" s="131"/>
      <c r="T13" s="14"/>
    </row>
    <row r="14" spans="1:20" ht="23.25" customHeight="1">
      <c r="A14" s="18"/>
      <c r="B14" s="13"/>
      <c r="C14" s="13"/>
      <c r="D14" s="13"/>
      <c r="E14" s="13"/>
      <c r="F14" s="13"/>
      <c r="G14" s="13"/>
      <c r="H14" s="162" t="str">
        <f>VLOOKUP(Database!$B$25,Database!$A$26:$C$27,3,FALSE)</f>
        <v>1</v>
      </c>
      <c r="I14" s="179"/>
      <c r="J14" s="110"/>
      <c r="K14" s="114"/>
      <c r="L14" s="106"/>
      <c r="M14" s="123"/>
      <c r="N14" s="128"/>
      <c r="O14" s="107"/>
      <c r="P14" s="109"/>
      <c r="Q14" s="124"/>
      <c r="R14" s="128"/>
      <c r="S14" s="131"/>
      <c r="T14" s="14"/>
    </row>
    <row r="15" spans="1:20" ht="15.75" customHeight="1">
      <c r="A15" s="158" t="s">
        <v>3</v>
      </c>
      <c r="B15" s="13"/>
      <c r="C15" s="13"/>
      <c r="D15" s="13"/>
      <c r="E15" s="13"/>
      <c r="F15" s="13"/>
      <c r="G15" s="13"/>
      <c r="H15" s="117"/>
      <c r="I15" s="118"/>
      <c r="J15" s="118"/>
      <c r="K15" s="115"/>
      <c r="L15" s="106"/>
      <c r="M15" s="123"/>
      <c r="N15" s="128"/>
      <c r="O15" s="107"/>
      <c r="P15" s="109"/>
      <c r="Q15" s="124"/>
      <c r="R15" s="128"/>
      <c r="S15" s="131"/>
      <c r="T15" s="14"/>
    </row>
    <row r="16" spans="1:20" ht="22.5" customHeight="1">
      <c r="A16" s="18"/>
      <c r="B16" s="13"/>
      <c r="C16" s="13"/>
      <c r="D16" s="13"/>
      <c r="E16" s="13"/>
      <c r="F16" s="13"/>
      <c r="G16" s="13"/>
      <c r="H16" s="30" t="str">
        <f>VLOOKUP(Database!$B$32,Database!$A$33:$C$36,3,FALSE)</f>
        <v>1</v>
      </c>
      <c r="I16" s="180"/>
      <c r="J16" s="136"/>
      <c r="K16" s="116"/>
      <c r="L16" s="106"/>
      <c r="M16" s="123"/>
      <c r="N16" s="128"/>
      <c r="O16" s="107"/>
      <c r="P16" s="109"/>
      <c r="Q16" s="124"/>
      <c r="R16" s="128"/>
      <c r="S16" s="131"/>
      <c r="T16" s="14"/>
    </row>
    <row r="17" spans="1:20" ht="15.75" customHeight="1">
      <c r="A17" s="158" t="s">
        <v>51</v>
      </c>
      <c r="B17" s="13"/>
      <c r="C17" s="13"/>
      <c r="D17" s="13"/>
      <c r="E17" s="13"/>
      <c r="F17" s="13"/>
      <c r="G17" s="13"/>
      <c r="H17" s="120"/>
      <c r="I17" s="107"/>
      <c r="J17" s="107"/>
      <c r="K17" s="107"/>
      <c r="L17" s="107"/>
      <c r="M17" s="123"/>
      <c r="N17" s="128"/>
      <c r="O17" s="107"/>
      <c r="P17" s="109"/>
      <c r="Q17" s="124"/>
      <c r="R17" s="128"/>
      <c r="S17" s="131"/>
      <c r="T17" s="14"/>
    </row>
    <row r="18" spans="1:20" ht="23.25" customHeight="1">
      <c r="A18" s="18"/>
      <c r="B18" s="13"/>
      <c r="C18" s="13"/>
      <c r="D18" s="13"/>
      <c r="E18" s="13"/>
      <c r="F18" s="13"/>
      <c r="G18" s="13"/>
      <c r="H18" s="162" t="str">
        <f>VLOOKUP(Database!$B$43,Database!$A$44:$C$47,3,FALSE)</f>
        <v>A</v>
      </c>
      <c r="I18" s="173"/>
      <c r="J18" s="121"/>
      <c r="K18" s="121"/>
      <c r="L18" s="119"/>
      <c r="M18" s="123"/>
      <c r="N18" s="128"/>
      <c r="O18" s="107"/>
      <c r="P18" s="109"/>
      <c r="Q18" s="124"/>
      <c r="R18" s="128"/>
      <c r="S18" s="131"/>
      <c r="T18" s="14"/>
    </row>
    <row r="19" spans="1:20" ht="16.5" customHeight="1">
      <c r="A19" s="158" t="s">
        <v>168</v>
      </c>
      <c r="B19" s="244"/>
      <c r="C19" s="244"/>
      <c r="D19" s="244"/>
      <c r="E19" s="13"/>
      <c r="F19" s="13"/>
      <c r="G19" s="13"/>
      <c r="H19" s="126"/>
      <c r="I19" s="167"/>
      <c r="J19" s="110"/>
      <c r="K19" s="110"/>
      <c r="L19" s="110"/>
      <c r="M19" s="124"/>
      <c r="N19" s="128"/>
      <c r="O19" s="107"/>
      <c r="P19" s="109"/>
      <c r="Q19" s="124"/>
      <c r="R19" s="128"/>
      <c r="S19" s="131"/>
      <c r="T19" s="14"/>
    </row>
    <row r="20" spans="1:20" ht="23.25" customHeight="1">
      <c r="A20" s="26"/>
      <c r="B20" s="13"/>
      <c r="C20" s="13"/>
      <c r="D20" s="13"/>
      <c r="E20" s="13"/>
      <c r="F20" s="13"/>
      <c r="G20" s="13"/>
      <c r="H20" s="162" t="str">
        <f>VLOOKUP(Database!$B$52,Database!$A$53:$C$56,3,FALSE)</f>
        <v>1</v>
      </c>
      <c r="I20" s="110"/>
      <c r="J20" s="110"/>
      <c r="K20" s="110"/>
      <c r="L20" s="127"/>
      <c r="M20" s="125"/>
      <c r="N20" s="128"/>
      <c r="O20" s="107"/>
      <c r="P20" s="109"/>
      <c r="Q20" s="124"/>
      <c r="R20" s="128"/>
      <c r="S20" s="131"/>
      <c r="T20" s="14"/>
    </row>
    <row r="21" spans="1:20" ht="15.75" customHeight="1">
      <c r="A21" s="158" t="s">
        <v>55</v>
      </c>
      <c r="B21" s="13"/>
      <c r="C21" s="13"/>
      <c r="D21" s="13"/>
      <c r="E21" s="13"/>
      <c r="F21" s="13"/>
      <c r="G21" s="13"/>
      <c r="H21" s="117"/>
      <c r="I21" s="118"/>
      <c r="J21" s="118"/>
      <c r="K21" s="118"/>
      <c r="L21" s="115"/>
      <c r="M21" s="115"/>
      <c r="N21" s="128"/>
      <c r="O21" s="107"/>
      <c r="P21" s="109"/>
      <c r="Q21" s="124"/>
      <c r="R21" s="128"/>
      <c r="S21" s="131"/>
      <c r="T21" s="14"/>
    </row>
    <row r="22" spans="1:20" ht="22.5" customHeight="1">
      <c r="A22" s="18"/>
      <c r="B22" s="13"/>
      <c r="C22" s="13"/>
      <c r="D22" s="13"/>
      <c r="E22" s="13"/>
      <c r="F22" s="13"/>
      <c r="G22" s="13"/>
      <c r="H22" s="260" t="str">
        <f>VLOOKUP(Database!$B$61,Database!$A$62:$C$68,3,FALSE)</f>
        <v>A</v>
      </c>
      <c r="I22" s="114"/>
      <c r="J22" s="115"/>
      <c r="K22" s="115"/>
      <c r="L22" s="115"/>
      <c r="M22" s="115"/>
      <c r="N22" s="128"/>
      <c r="O22" s="131"/>
      <c r="P22" s="109"/>
      <c r="Q22" s="124"/>
      <c r="R22" s="128"/>
      <c r="S22" s="131"/>
      <c r="T22" s="14"/>
    </row>
    <row r="23" spans="1:20" ht="9" customHeight="1" hidden="1">
      <c r="A23" s="18"/>
      <c r="B23" s="13"/>
      <c r="C23" s="13"/>
      <c r="D23" s="13"/>
      <c r="E23" s="13"/>
      <c r="F23" s="13"/>
      <c r="G23" s="13"/>
      <c r="H23" s="261"/>
      <c r="I23" s="163"/>
      <c r="J23" s="27"/>
      <c r="K23" s="28"/>
      <c r="L23" s="28"/>
      <c r="M23" s="28"/>
      <c r="N23" s="29"/>
      <c r="O23" s="131"/>
      <c r="P23" s="109"/>
      <c r="Q23" s="124"/>
      <c r="R23" s="128"/>
      <c r="S23" s="131"/>
      <c r="T23" s="14"/>
    </row>
    <row r="24" spans="1:20" ht="15.75" customHeight="1">
      <c r="A24" s="242" t="s">
        <v>6</v>
      </c>
      <c r="B24" s="243"/>
      <c r="C24" s="243"/>
      <c r="D24" s="13"/>
      <c r="E24" s="13"/>
      <c r="F24" s="13"/>
      <c r="G24" s="13"/>
      <c r="H24" s="132"/>
      <c r="I24" s="168"/>
      <c r="J24" s="133"/>
      <c r="K24" s="133"/>
      <c r="L24" s="133"/>
      <c r="M24" s="133"/>
      <c r="N24" s="133"/>
      <c r="O24" s="131"/>
      <c r="P24" s="109"/>
      <c r="Q24" s="124"/>
      <c r="R24" s="128"/>
      <c r="S24" s="131"/>
      <c r="T24" s="14"/>
    </row>
    <row r="25" spans="1:20" ht="22.5" customHeight="1">
      <c r="A25" s="18"/>
      <c r="B25" s="13"/>
      <c r="C25" s="13"/>
      <c r="D25" s="13"/>
      <c r="E25" s="13"/>
      <c r="F25" s="13"/>
      <c r="G25" s="13"/>
      <c r="H25" s="30" t="str">
        <f>VLOOKUP(Database!$B$70,Database!$A$71:$C$73,3,FALSE)</f>
        <v>1</v>
      </c>
      <c r="I25" s="106"/>
      <c r="J25" s="121"/>
      <c r="K25" s="107"/>
      <c r="L25" s="107"/>
      <c r="M25" s="107"/>
      <c r="N25" s="107"/>
      <c r="O25" s="119"/>
      <c r="P25" s="110"/>
      <c r="Q25" s="124"/>
      <c r="R25" s="128"/>
      <c r="S25" s="131"/>
      <c r="T25" s="14"/>
    </row>
    <row r="26" spans="1:20" ht="15" customHeight="1">
      <c r="A26" s="159" t="s">
        <v>12</v>
      </c>
      <c r="B26" s="16"/>
      <c r="C26" s="16"/>
      <c r="D26" s="16"/>
      <c r="E26" s="16"/>
      <c r="F26" s="16"/>
      <c r="G26" s="17"/>
      <c r="H26" s="135"/>
      <c r="I26" s="135"/>
      <c r="J26" s="135"/>
      <c r="K26" s="135"/>
      <c r="L26" s="135"/>
      <c r="M26" s="135"/>
      <c r="N26" s="135"/>
      <c r="O26" s="135"/>
      <c r="P26" s="110"/>
      <c r="Q26" s="124"/>
      <c r="R26" s="128"/>
      <c r="S26" s="131"/>
      <c r="T26" s="14"/>
    </row>
    <row r="27" spans="1:20" ht="22.5" customHeight="1">
      <c r="A27" s="26"/>
      <c r="B27" s="13"/>
      <c r="C27" s="13"/>
      <c r="D27" s="13"/>
      <c r="E27" s="13"/>
      <c r="F27" s="13"/>
      <c r="G27" s="13"/>
      <c r="H27" s="31" t="str">
        <f>VLOOKUP(Database!$B$77,Database!$A$78:$C$81,3,FALSE)</f>
        <v>01</v>
      </c>
      <c r="I27" s="111"/>
      <c r="J27" s="127"/>
      <c r="K27" s="127"/>
      <c r="L27" s="127"/>
      <c r="M27" s="127"/>
      <c r="N27" s="127"/>
      <c r="O27" s="127"/>
      <c r="P27" s="127"/>
      <c r="Q27" s="125"/>
      <c r="R27" s="128"/>
      <c r="S27" s="131"/>
      <c r="T27" s="14"/>
    </row>
    <row r="28" spans="1:20" ht="15.75" customHeight="1">
      <c r="A28" s="158" t="s">
        <v>59</v>
      </c>
      <c r="B28" s="13"/>
      <c r="C28" s="13"/>
      <c r="D28" s="13"/>
      <c r="E28" s="13"/>
      <c r="F28" s="13"/>
      <c r="G28" s="13"/>
      <c r="H28" s="117"/>
      <c r="I28" s="115"/>
      <c r="J28" s="115"/>
      <c r="K28" s="115"/>
      <c r="L28" s="115"/>
      <c r="M28" s="115"/>
      <c r="N28" s="115"/>
      <c r="O28" s="115"/>
      <c r="P28" s="115"/>
      <c r="Q28" s="115"/>
      <c r="R28" s="128"/>
      <c r="S28" s="131"/>
      <c r="T28" s="14"/>
    </row>
    <row r="29" spans="1:20" ht="22.5" customHeight="1">
      <c r="A29" s="198"/>
      <c r="B29" s="13"/>
      <c r="C29" s="13"/>
      <c r="D29" s="13"/>
      <c r="E29" s="13"/>
      <c r="F29" s="13"/>
      <c r="G29" s="13"/>
      <c r="H29" s="31" t="str">
        <f>VLOOKUP(Database!$B$87,Database!$A$88:$C$89,3,FALSE)</f>
        <v>0</v>
      </c>
      <c r="I29" s="115"/>
      <c r="J29" s="115"/>
      <c r="K29" s="115"/>
      <c r="L29" s="115"/>
      <c r="M29" s="136"/>
      <c r="N29" s="136"/>
      <c r="O29" s="136"/>
      <c r="P29" s="136"/>
      <c r="Q29" s="136"/>
      <c r="R29" s="116"/>
      <c r="S29" s="131"/>
      <c r="T29" s="14"/>
    </row>
    <row r="30" spans="1:20" ht="15.75" customHeight="1">
      <c r="A30" s="158" t="s">
        <v>7</v>
      </c>
      <c r="B30" s="16"/>
      <c r="C30" s="16"/>
      <c r="D30" s="16"/>
      <c r="E30" s="16"/>
      <c r="F30" s="16"/>
      <c r="G30" s="17"/>
      <c r="H30" s="133"/>
      <c r="I30" s="133"/>
      <c r="J30" s="133"/>
      <c r="K30" s="133"/>
      <c r="L30" s="133"/>
      <c r="M30" s="107"/>
      <c r="N30" s="107"/>
      <c r="O30" s="107"/>
      <c r="P30" s="107"/>
      <c r="Q30" s="107"/>
      <c r="R30" s="107"/>
      <c r="S30" s="131"/>
      <c r="T30" s="14"/>
    </row>
    <row r="31" spans="1:20" ht="22.5" customHeight="1">
      <c r="A31" s="26"/>
      <c r="B31" s="13"/>
      <c r="C31" s="13"/>
      <c r="D31" s="13"/>
      <c r="E31" s="13"/>
      <c r="F31" s="13"/>
      <c r="G31" s="13"/>
      <c r="H31" s="31" t="str">
        <f>VLOOKUP(Database!$B$94,Database!$A$95:$C$95,3,FALSE)</f>
        <v>A</v>
      </c>
      <c r="I31" s="121"/>
      <c r="J31" s="121"/>
      <c r="K31" s="121"/>
      <c r="L31" s="121"/>
      <c r="M31" s="121"/>
      <c r="N31" s="121"/>
      <c r="O31" s="121"/>
      <c r="P31" s="121"/>
      <c r="Q31" s="121"/>
      <c r="R31" s="121"/>
      <c r="S31" s="119"/>
      <c r="T31" s="14"/>
    </row>
    <row r="32" spans="1:20" ht="15.75" customHeight="1" thickBot="1">
      <c r="A32" s="32"/>
      <c r="B32" s="33"/>
      <c r="C32" s="33"/>
      <c r="D32" s="33"/>
      <c r="E32" s="33"/>
      <c r="F32" s="33"/>
      <c r="G32" s="33"/>
      <c r="H32" s="34"/>
      <c r="I32" s="34"/>
      <c r="J32" s="34"/>
      <c r="K32" s="34"/>
      <c r="L32" s="34"/>
      <c r="M32" s="34"/>
      <c r="N32" s="34"/>
      <c r="O32" s="34"/>
      <c r="P32" s="34"/>
      <c r="Q32" s="34"/>
      <c r="R32" s="34"/>
      <c r="S32" s="34"/>
      <c r="T32" s="35"/>
    </row>
    <row r="33" spans="1:19" ht="22.5" customHeight="1" thickTop="1">
      <c r="A33" s="13"/>
      <c r="B33" s="13"/>
      <c r="C33" s="13"/>
      <c r="D33" s="13"/>
      <c r="E33" s="13"/>
      <c r="F33" s="13"/>
      <c r="G33" s="13"/>
      <c r="H33" s="36"/>
      <c r="I33" s="36"/>
      <c r="J33" s="37"/>
      <c r="K33" s="37"/>
      <c r="L33" s="37"/>
      <c r="M33" s="37"/>
      <c r="N33" s="37"/>
      <c r="O33" s="37"/>
      <c r="P33" s="36"/>
      <c r="Q33" s="36"/>
      <c r="R33" s="36"/>
      <c r="S33" s="36"/>
    </row>
    <row r="34" spans="1:19" ht="15.75" customHeight="1">
      <c r="A34" s="38"/>
      <c r="B34" s="13"/>
      <c r="C34" s="13"/>
      <c r="D34" s="13"/>
      <c r="E34" s="13"/>
      <c r="F34" s="13"/>
      <c r="G34" s="13"/>
      <c r="H34" s="36"/>
      <c r="I34" s="36"/>
      <c r="J34" s="37"/>
      <c r="K34" s="37"/>
      <c r="L34" s="37"/>
      <c r="M34" s="37"/>
      <c r="N34" s="37"/>
      <c r="O34" s="37"/>
      <c r="P34" s="36"/>
      <c r="Q34" s="36"/>
      <c r="R34" s="36"/>
      <c r="S34" s="36"/>
    </row>
    <row r="35" spans="1:19" ht="11.25">
      <c r="A35" s="13"/>
      <c r="B35" s="13"/>
      <c r="C35" s="13"/>
      <c r="D35" s="13"/>
      <c r="E35" s="13"/>
      <c r="F35" s="13"/>
      <c r="G35" s="13"/>
      <c r="H35" s="36"/>
      <c r="I35" s="36"/>
      <c r="J35" s="37"/>
      <c r="K35" s="37"/>
      <c r="L35" s="37"/>
      <c r="M35" s="37"/>
      <c r="N35" s="37"/>
      <c r="O35" s="37"/>
      <c r="P35" s="36"/>
      <c r="Q35" s="36"/>
      <c r="R35" s="36"/>
      <c r="S35" s="36"/>
    </row>
    <row r="36" spans="1:19" ht="11.25">
      <c r="A36" s="13"/>
      <c r="B36" s="13"/>
      <c r="C36" s="13"/>
      <c r="D36" s="13"/>
      <c r="E36" s="13"/>
      <c r="F36" s="13"/>
      <c r="G36" s="13"/>
      <c r="H36" s="36"/>
      <c r="I36" s="36"/>
      <c r="J36" s="37"/>
      <c r="K36" s="37"/>
      <c r="L36" s="37"/>
      <c r="M36" s="37"/>
      <c r="N36" s="37"/>
      <c r="O36" s="37"/>
      <c r="P36" s="36"/>
      <c r="Q36" s="36"/>
      <c r="R36" s="36"/>
      <c r="S36" s="36"/>
    </row>
    <row r="37" spans="1:9" ht="11.25">
      <c r="A37" s="13"/>
      <c r="B37" s="13"/>
      <c r="C37" s="13"/>
      <c r="D37" s="13"/>
      <c r="E37" s="13"/>
      <c r="F37" s="13"/>
      <c r="G37" s="13"/>
      <c r="H37" s="13"/>
      <c r="I37" s="13"/>
    </row>
    <row r="38" spans="1:9" ht="11.25">
      <c r="A38" s="13"/>
      <c r="B38" s="13"/>
      <c r="C38" s="13"/>
      <c r="D38" s="13"/>
      <c r="E38" s="13"/>
      <c r="F38" s="13"/>
      <c r="G38" s="13"/>
      <c r="H38" s="13"/>
      <c r="I38" s="13"/>
    </row>
  </sheetData>
  <sheetProtection/>
  <mergeCells count="6">
    <mergeCell ref="H22:H23"/>
    <mergeCell ref="P5:Q5"/>
    <mergeCell ref="A3:F3"/>
    <mergeCell ref="H7:H8"/>
    <mergeCell ref="P4:Q4"/>
    <mergeCell ref="A5:G5"/>
  </mergeCells>
  <printOptions/>
  <pageMargins left="0.75" right="0.75" top="1" bottom="1" header="0.5" footer="0.5"/>
  <pageSetup fitToHeight="1" fitToWidth="1" horizontalDpi="600" verticalDpi="600" orientation="portrait" paperSize="9" scale="66"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G10"/>
  <sheetViews>
    <sheetView showGridLines="0" showRowColHeaders="0" zoomScalePageLayoutView="0" workbookViewId="0" topLeftCell="A1">
      <pane ySplit="1" topLeftCell="A2" activePane="bottomLeft" state="frozen"/>
      <selection pane="topLeft" activeCell="A1" sqref="A1"/>
      <selection pane="bottomLeft" activeCell="J19" sqref="J19"/>
    </sheetView>
  </sheetViews>
  <sheetFormatPr defaultColWidth="10.7109375" defaultRowHeight="12"/>
  <cols>
    <col min="1" max="2" width="10.7109375" style="1" customWidth="1"/>
    <col min="3" max="3" width="20.7109375" style="1" customWidth="1"/>
    <col min="4" max="4" width="2.7109375" style="1" bestFit="1" customWidth="1"/>
    <col min="5" max="5" width="23.7109375" style="1" bestFit="1" customWidth="1"/>
    <col min="6" max="16384" width="10.7109375" style="1" customWidth="1"/>
  </cols>
  <sheetData>
    <row r="1" spans="1:7" ht="16.5" thickBot="1">
      <c r="A1" s="76" t="str">
        <f>'Master Text'!A1</f>
        <v>P154111A1A1010A</v>
      </c>
      <c r="B1" s="77"/>
      <c r="C1" s="77"/>
      <c r="D1" s="77"/>
      <c r="E1" s="78" t="s">
        <v>20</v>
      </c>
      <c r="F1" s="77"/>
      <c r="G1" s="79"/>
    </row>
    <row r="2" spans="1:7" ht="12.75">
      <c r="A2" s="3"/>
      <c r="B2" s="2"/>
      <c r="C2" s="2"/>
      <c r="D2" s="2"/>
      <c r="E2" s="2"/>
      <c r="F2" s="2"/>
      <c r="G2" s="70"/>
    </row>
    <row r="3" spans="1:7" ht="12.75">
      <c r="A3" s="3"/>
      <c r="B3" s="2"/>
      <c r="C3" s="2"/>
      <c r="D3" s="2"/>
      <c r="E3" s="2"/>
      <c r="F3" s="2"/>
      <c r="G3" s="70"/>
    </row>
    <row r="4" spans="1:7" ht="15">
      <c r="A4" s="80" t="s">
        <v>21</v>
      </c>
      <c r="B4" s="2"/>
      <c r="C4" s="2"/>
      <c r="D4" s="81" t="s">
        <v>13</v>
      </c>
      <c r="E4" s="196" t="str">
        <f>VLOOKUP(Database!$C$112,Database!$C$114:$F$129,2)</f>
        <v>10P14D01</v>
      </c>
      <c r="F4" s="2"/>
      <c r="G4" s="70"/>
    </row>
    <row r="5" spans="1:7" ht="15" hidden="1">
      <c r="A5" s="80" t="s">
        <v>22</v>
      </c>
      <c r="B5" s="2"/>
      <c r="C5" s="2"/>
      <c r="D5" s="81" t="s">
        <v>13</v>
      </c>
      <c r="E5" s="196" t="s">
        <v>61</v>
      </c>
      <c r="F5" s="2"/>
      <c r="G5" s="70"/>
    </row>
    <row r="6" spans="1:7" ht="12.75">
      <c r="A6" s="3"/>
      <c r="B6" s="2"/>
      <c r="C6" s="2"/>
      <c r="D6" s="2"/>
      <c r="E6" s="2"/>
      <c r="F6" s="2"/>
      <c r="G6" s="70"/>
    </row>
    <row r="7" spans="1:7" ht="12.75">
      <c r="A7" s="3"/>
      <c r="B7" s="2"/>
      <c r="C7" s="2"/>
      <c r="D7" s="2"/>
      <c r="E7" s="2"/>
      <c r="F7" s="2"/>
      <c r="G7" s="70"/>
    </row>
    <row r="8" spans="1:7" ht="12.75">
      <c r="A8" s="3"/>
      <c r="B8" s="2"/>
      <c r="C8" s="2"/>
      <c r="D8" s="2"/>
      <c r="E8" s="2"/>
      <c r="F8" s="2"/>
      <c r="G8" s="70"/>
    </row>
    <row r="9" spans="1:7" ht="12.75">
      <c r="A9" s="3"/>
      <c r="B9" s="2"/>
      <c r="C9" s="2"/>
      <c r="D9" s="2"/>
      <c r="E9" s="2"/>
      <c r="F9" s="2"/>
      <c r="G9" s="70"/>
    </row>
    <row r="10" spans="1:7" ht="13.5" thickBot="1">
      <c r="A10" s="73"/>
      <c r="B10" s="10"/>
      <c r="C10" s="10"/>
      <c r="D10" s="10"/>
      <c r="E10" s="10"/>
      <c r="F10" s="10"/>
      <c r="G10" s="75"/>
    </row>
  </sheetData>
  <sheetProtection password="C927" sheet="1" objects="1" scenarios="1"/>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D38"/>
  <sheetViews>
    <sheetView showGridLines="0" showRowColHeaders="0" zoomScalePageLayoutView="0" workbookViewId="0" topLeftCell="A1">
      <pane ySplit="1" topLeftCell="A5" activePane="bottomLeft" state="frozen"/>
      <selection pane="topLeft" activeCell="A2" sqref="A2"/>
      <selection pane="bottomLeft" activeCell="F41" sqref="F41"/>
    </sheetView>
  </sheetViews>
  <sheetFormatPr defaultColWidth="10.7109375" defaultRowHeight="12"/>
  <cols>
    <col min="1" max="1" width="10.00390625" style="1" customWidth="1"/>
    <col min="2" max="2" width="3.8515625" style="1" customWidth="1"/>
    <col min="3" max="3" width="86.140625" style="1" customWidth="1"/>
    <col min="4" max="4" width="14.140625" style="1" customWidth="1"/>
    <col min="5" max="16384" width="10.7109375" style="1" customWidth="1"/>
  </cols>
  <sheetData>
    <row r="1" spans="1:3" ht="15.75">
      <c r="A1" s="59" t="str">
        <f>CONCATENATE(Configurator!$H$5,Configurator!$I$5,Configurator!$J$5,Configurator!$K$5,Configurator!$L$5,Configurator!$M$5,Configurator!N5,Configurator!$O$5,Configurator!$P$5,Configurator!$R$5,Configurator!$S$5)</f>
        <v>P154111A1A1010A</v>
      </c>
      <c r="B1" s="60"/>
      <c r="C1" s="61"/>
    </row>
    <row r="2" spans="1:3" ht="12.75">
      <c r="A2" s="199" t="s">
        <v>163</v>
      </c>
      <c r="C2" s="64"/>
    </row>
    <row r="3" spans="1:3" ht="12.75">
      <c r="A3" s="4" t="s">
        <v>164</v>
      </c>
      <c r="B3" s="65"/>
      <c r="C3" s="70"/>
    </row>
    <row r="4" spans="1:3" ht="12.75">
      <c r="A4" s="273" t="str">
        <f>VLOOKUP(Database!$B$6,Database!$A$7:$C$10,2,FALSE)</f>
        <v>24 – 230 V DC/AC</v>
      </c>
      <c r="B4" s="274"/>
      <c r="C4" s="275"/>
    </row>
    <row r="5" spans="1:3" ht="12.75">
      <c r="A5" s="4" t="s">
        <v>167</v>
      </c>
      <c r="B5" s="206"/>
      <c r="C5" s="207"/>
    </row>
    <row r="6" spans="1:3" ht="12.75">
      <c r="A6" s="205" t="str">
        <f>VLOOKUP(Database!$B$13,Database!$A$14:$B$17,2,FALSE)</f>
        <v>18V DC / 16V AC</v>
      </c>
      <c r="B6" s="206"/>
      <c r="C6" s="207"/>
    </row>
    <row r="7" spans="1:3" ht="12.75">
      <c r="A7" s="4" t="s">
        <v>43</v>
      </c>
      <c r="B7" s="65"/>
      <c r="C7" s="70"/>
    </row>
    <row r="8" spans="1:3" ht="12.75">
      <c r="A8" s="273" t="str">
        <f>VLOOKUP(Database!$B$25,Database!$A$26:$B$27,2,FALSE)</f>
        <v>Standard CT</v>
      </c>
      <c r="B8" s="274"/>
      <c r="C8" s="275"/>
    </row>
    <row r="9" spans="1:3" ht="12.75">
      <c r="A9" s="4" t="s">
        <v>69</v>
      </c>
      <c r="B9" s="65"/>
      <c r="C9" s="70"/>
    </row>
    <row r="10" spans="1:3" ht="12.75">
      <c r="A10" s="273" t="str">
        <f>VLOOKUP(Database!$B$32,Database!$A$33:$B$35,2,FALSE)</f>
        <v>EIA RS485 only</v>
      </c>
      <c r="B10" s="274"/>
      <c r="C10" s="275"/>
    </row>
    <row r="11" spans="1:3" ht="12.75">
      <c r="A11" s="4" t="s">
        <v>51</v>
      </c>
      <c r="B11" s="65"/>
      <c r="C11" s="70"/>
    </row>
    <row r="12" spans="1:3" ht="12.75">
      <c r="A12" s="273" t="str">
        <f>Database!$B$44</f>
        <v>Standard (6 logic inputs + 6 relay outputs)</v>
      </c>
      <c r="B12" s="274"/>
      <c r="C12" s="275"/>
    </row>
    <row r="13" spans="1:3" ht="12.75">
      <c r="A13" s="4" t="s">
        <v>70</v>
      </c>
      <c r="B13" s="65"/>
      <c r="C13" s="70"/>
    </row>
    <row r="14" spans="1:3" ht="12.75">
      <c r="A14" s="273" t="str">
        <f>VLOOKUP(Database!$B$52,Database!$A$53:$C$56,2,FALSE)</f>
        <v>Modbus / IEC 60870-5-103</v>
      </c>
      <c r="B14" s="274"/>
      <c r="C14" s="275"/>
    </row>
    <row r="15" spans="1:3" ht="12.75">
      <c r="A15" s="4" t="s">
        <v>71</v>
      </c>
      <c r="B15" s="65"/>
      <c r="C15" s="70"/>
    </row>
    <row r="16" spans="1:3" ht="12.75">
      <c r="A16" s="273" t="str">
        <f>VLOOKUP(Database!$B$61,Database!$A$62:$C$65,2,FALSE)</f>
        <v>Non drawout</v>
      </c>
      <c r="B16" s="274"/>
      <c r="C16" s="275"/>
    </row>
    <row r="17" spans="1:3" ht="12.75">
      <c r="A17" s="4" t="s">
        <v>34</v>
      </c>
      <c r="B17" s="65"/>
      <c r="C17" s="70"/>
    </row>
    <row r="18" spans="1:3" ht="12.75">
      <c r="A18" s="273" t="str">
        <f>(VLOOKUP(Database!$B$70,Database!$A$71:$C$74,2))</f>
        <v>English or French (with French via relay HMI only)</v>
      </c>
      <c r="B18" s="274"/>
      <c r="C18" s="275"/>
    </row>
    <row r="19" spans="1:3" ht="12.75">
      <c r="A19" s="276" t="s">
        <v>176</v>
      </c>
      <c r="B19" s="277"/>
      <c r="C19" s="278"/>
    </row>
    <row r="20" spans="1:3" ht="12.75">
      <c r="A20" s="4" t="s">
        <v>35</v>
      </c>
      <c r="B20" s="65"/>
      <c r="C20" s="70"/>
    </row>
    <row r="21" spans="1:3" ht="12.75">
      <c r="A21" s="273" t="str">
        <f>Configurator!P5</f>
        <v>01</v>
      </c>
      <c r="B21" s="274"/>
      <c r="C21" s="275"/>
    </row>
    <row r="22" spans="1:3" ht="12.75">
      <c r="A22" s="66" t="s">
        <v>36</v>
      </c>
      <c r="B22" s="65"/>
      <c r="C22" s="70"/>
    </row>
    <row r="23" spans="1:3" ht="12.75">
      <c r="A23" s="273" t="str">
        <f>VLOOKUP(Database!$B$87,Database!$A$88:$C$89,2,FALSE)</f>
        <v>Default</v>
      </c>
      <c r="B23" s="274"/>
      <c r="C23" s="275"/>
    </row>
    <row r="24" spans="1:3" ht="12.75">
      <c r="A24" s="66" t="s">
        <v>7</v>
      </c>
      <c r="B24" s="65"/>
      <c r="C24" s="70"/>
    </row>
    <row r="25" spans="1:3" ht="12.75">
      <c r="A25" s="273" t="str">
        <f>VLOOKUP(Database!$B$94,Database!$A$95:$C$95,2,FALSE)</f>
        <v>Initial release</v>
      </c>
      <c r="B25" s="274"/>
      <c r="C25" s="275"/>
    </row>
    <row r="26" spans="1:3" ht="12.75" customHeight="1">
      <c r="A26" s="67"/>
      <c r="B26" s="68"/>
      <c r="C26" s="69"/>
    </row>
    <row r="27" spans="1:3" ht="12.75">
      <c r="A27" s="62"/>
      <c r="B27" s="63"/>
      <c r="C27" s="64"/>
    </row>
    <row r="28" spans="1:3" ht="12.75">
      <c r="A28" s="3" t="s">
        <v>14</v>
      </c>
      <c r="B28" s="2"/>
      <c r="C28" s="70"/>
    </row>
    <row r="29" spans="1:3" ht="12.75">
      <c r="A29" s="71" t="s">
        <v>15</v>
      </c>
      <c r="B29" s="72" t="s">
        <v>1</v>
      </c>
      <c r="C29" s="82" t="s">
        <v>165</v>
      </c>
    </row>
    <row r="30" spans="1:3" ht="25.5" customHeight="1">
      <c r="A30" s="71"/>
      <c r="B30" s="72" t="s">
        <v>4</v>
      </c>
      <c r="C30" s="248" t="s">
        <v>177</v>
      </c>
    </row>
    <row r="31" spans="1:4" ht="13.5" thickBot="1">
      <c r="A31" s="73"/>
      <c r="B31" s="74"/>
      <c r="C31" s="75"/>
      <c r="D31" s="2"/>
    </row>
    <row r="32" spans="1:4" ht="12.75">
      <c r="A32" s="2"/>
      <c r="B32" s="65"/>
      <c r="C32" s="2"/>
      <c r="D32" s="2"/>
    </row>
    <row r="33" spans="1:4" ht="12.75">
      <c r="A33" s="2"/>
      <c r="B33" s="65"/>
      <c r="C33" s="2"/>
      <c r="D33" s="2"/>
    </row>
    <row r="34" spans="1:4" ht="12.75">
      <c r="A34" s="2"/>
      <c r="B34" s="65"/>
      <c r="C34" s="2"/>
      <c r="D34" s="2"/>
    </row>
    <row r="35" spans="1:4" ht="12.75">
      <c r="A35" s="2"/>
      <c r="B35" s="65"/>
      <c r="C35" s="2"/>
      <c r="D35" s="2"/>
    </row>
    <row r="36" spans="1:3" ht="12.75">
      <c r="A36" s="2"/>
      <c r="B36" s="65"/>
      <c r="C36" s="2"/>
    </row>
    <row r="37" spans="1:3" ht="12.75">
      <c r="A37" s="2"/>
      <c r="B37" s="65"/>
      <c r="C37" s="2"/>
    </row>
    <row r="38" spans="1:3" ht="12.75">
      <c r="A38" s="2"/>
      <c r="B38" s="2"/>
      <c r="C38" s="2"/>
    </row>
  </sheetData>
  <sheetProtection password="C927" sheet="1"/>
  <mergeCells count="11">
    <mergeCell ref="A4:C4"/>
    <mergeCell ref="A8:C8"/>
    <mergeCell ref="A10:C10"/>
    <mergeCell ref="A19:C19"/>
    <mergeCell ref="A21:C21"/>
    <mergeCell ref="A23:C23"/>
    <mergeCell ref="A18:C18"/>
    <mergeCell ref="A25:C25"/>
    <mergeCell ref="A12:C12"/>
    <mergeCell ref="A14:C14"/>
    <mergeCell ref="A16:C16"/>
  </mergeCells>
  <printOptions/>
  <pageMargins left="0.75" right="0.75" top="1" bottom="1"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3"/>
  <dimension ref="A1:R129"/>
  <sheetViews>
    <sheetView zoomScalePageLayoutView="0" workbookViewId="0" topLeftCell="A1">
      <selection activeCell="D18" sqref="D18"/>
    </sheetView>
  </sheetViews>
  <sheetFormatPr defaultColWidth="9.140625" defaultRowHeight="12"/>
  <cols>
    <col min="1" max="1" width="3.140625" style="0" bestFit="1" customWidth="1"/>
    <col min="2" max="2" width="39.28125" style="39" bestFit="1" customWidth="1"/>
    <col min="3" max="3" width="7.140625" style="0" customWidth="1"/>
    <col min="4" max="4" width="19.140625" style="0" bestFit="1" customWidth="1"/>
    <col min="6" max="6" width="12.8515625" style="0" customWidth="1"/>
    <col min="8" max="8" width="11.140625" style="0" customWidth="1"/>
    <col min="10" max="10" width="14.8515625" style="0" customWidth="1"/>
    <col min="15" max="15" width="6.421875" style="0" customWidth="1"/>
    <col min="16" max="16" width="7.140625" style="0" customWidth="1"/>
    <col min="17" max="17" width="6.7109375" style="0" customWidth="1"/>
    <col min="18" max="18" width="6.421875" style="0" customWidth="1"/>
  </cols>
  <sheetData>
    <row r="1" spans="2:8" ht="11.25">
      <c r="B1" s="84">
        <v>1</v>
      </c>
      <c r="C1" s="171" t="str">
        <f>Configurator!$H$5</f>
        <v>P154</v>
      </c>
      <c r="H1" t="s">
        <v>48</v>
      </c>
    </row>
    <row r="2" spans="1:8" ht="11.25">
      <c r="A2" s="47">
        <v>1</v>
      </c>
      <c r="B2" s="53" t="str">
        <f>HLOOKUP('Date Drivers'!$B$1,'Date Drivers'!$B$2:$H$106,3)</f>
        <v>Non Dir. O/C + E/F  (4 Element)</v>
      </c>
      <c r="C2" s="50" t="str">
        <f>HLOOKUP('Date Drivers'!$B$1,'Date Drivers'!$B$2:$H$106,12)</f>
        <v>P154</v>
      </c>
      <c r="F2" s="164" t="s">
        <v>148</v>
      </c>
      <c r="G2" s="164"/>
      <c r="H2" s="164" t="s">
        <v>148</v>
      </c>
    </row>
    <row r="3" spans="1:8" ht="11.25">
      <c r="A3" s="48">
        <v>2</v>
      </c>
      <c r="B3" s="54">
        <f>HLOOKUP('Date Drivers'!$B$1,'Date Drivers'!$B$2:$H$106,2)</f>
        <v>0</v>
      </c>
      <c r="C3" s="51">
        <f>HLOOKUP('Date Drivers'!$B$1,'Date Drivers'!$B$2:$H$106,11)</f>
        <v>0</v>
      </c>
      <c r="F3" s="164"/>
      <c r="G3" s="164"/>
      <c r="H3" s="164"/>
    </row>
    <row r="4" spans="1:8" ht="11.25">
      <c r="A4" s="49">
        <v>3</v>
      </c>
      <c r="B4" s="55">
        <f>HLOOKUP('Date Drivers'!$B$1,'Date Drivers'!$B$2:$H$106,4)</f>
        <v>0</v>
      </c>
      <c r="C4" s="52">
        <f>HLOOKUP('Date Drivers'!$B$1,'Date Drivers'!$B$2:$H$106,13)</f>
        <v>0</v>
      </c>
      <c r="F4" s="164"/>
      <c r="G4" s="164"/>
      <c r="H4" s="164"/>
    </row>
    <row r="5" spans="3:8" ht="11.25">
      <c r="C5" s="16"/>
      <c r="F5" s="164"/>
      <c r="G5" s="164"/>
      <c r="H5" s="164"/>
    </row>
    <row r="6" spans="2:8" ht="11.25">
      <c r="B6" s="84">
        <v>1</v>
      </c>
      <c r="C6" s="169" t="str">
        <f>VLOOKUP($B$6,$A$7:$C$11,3,FALSE)</f>
        <v>1</v>
      </c>
      <c r="F6" s="164"/>
      <c r="G6" s="164"/>
      <c r="H6" s="164"/>
    </row>
    <row r="7" spans="1:8" ht="11.25">
      <c r="A7">
        <v>1</v>
      </c>
      <c r="B7" s="53" t="str">
        <f>HLOOKUP($C$1,$F$2:$F$23,6,FALSE)</f>
        <v>24 – 230 V DC/AC</v>
      </c>
      <c r="C7" s="54" t="str">
        <f>HLOOKUP($C$1,$H$2:$H$23,6,FALSE)</f>
        <v>1</v>
      </c>
      <c r="F7" s="169" t="str">
        <f>HLOOKUP('Date Drivers'!$B$1,'Date Drivers'!$B$2:$D$57,21,FALSE)</f>
        <v>24 – 230 V DC/AC</v>
      </c>
      <c r="G7" s="164"/>
      <c r="H7" s="169" t="str">
        <f>HLOOKUP('Date Drivers'!$B$1,'Date Drivers'!$B$2:$D$57,39,FALSE)</f>
        <v>1</v>
      </c>
    </row>
    <row r="8" spans="1:8" ht="11.25">
      <c r="A8">
        <v>2</v>
      </c>
      <c r="B8" s="54" t="str">
        <f>HLOOKUP($C$1,$F$2:$F$23,7,FALSE)</f>
        <v> </v>
      </c>
      <c r="C8" s="54" t="str">
        <f>HLOOKUP($C$1,$H$2:$H$23,7,FALSE)</f>
        <v>2</v>
      </c>
      <c r="F8" s="169" t="str">
        <f>HLOOKUP('Date Drivers'!$B$1,'Date Drivers'!$B$2:$D$57,22,FALSE)</f>
        <v> </v>
      </c>
      <c r="G8" s="164"/>
      <c r="H8" s="169" t="str">
        <f>HLOOKUP('Date Drivers'!$B$1,'Date Drivers'!$B$2:$D$57,40,FALSE)</f>
        <v>2</v>
      </c>
    </row>
    <row r="9" spans="1:8" ht="11.25">
      <c r="A9">
        <v>3</v>
      </c>
      <c r="B9" s="54" t="str">
        <f>HLOOKUP($C$1,$F$2:$F$23,8,FALSE)</f>
        <v> </v>
      </c>
      <c r="C9" s="54" t="str">
        <f>HLOOKUP($C$1,$H$2:$H$23,8,FALSE)</f>
        <v>4</v>
      </c>
      <c r="F9" s="170" t="s">
        <v>11</v>
      </c>
      <c r="G9" s="164"/>
      <c r="H9" s="169" t="str">
        <f>HLOOKUP('Date Drivers'!$B$1,'Date Drivers'!$B$2:$D$57,42,FALSE)</f>
        <v>4</v>
      </c>
    </row>
    <row r="10" spans="1:8" ht="11.25">
      <c r="A10">
        <v>4</v>
      </c>
      <c r="B10" s="54" t="str">
        <f>HLOOKUP($C$1,$F$2:$F$23,9,FALSE)</f>
        <v> </v>
      </c>
      <c r="C10" s="54" t="str">
        <f>HLOOKUP($C$1,$H$2:$H$23,9,FALSE)</f>
        <v>4</v>
      </c>
      <c r="F10" s="170" t="s">
        <v>11</v>
      </c>
      <c r="G10" s="164"/>
      <c r="H10" s="169" t="str">
        <f>HLOOKUP('Date Drivers'!$B$1,'Date Drivers'!$B$2:$D$57,42,FALSE)</f>
        <v>4</v>
      </c>
    </row>
    <row r="11" spans="1:8" ht="11.25">
      <c r="A11">
        <v>5</v>
      </c>
      <c r="B11" s="54" t="str">
        <f>HLOOKUP($C$1,$F$2:$F$23,10,FALSE)</f>
        <v> </v>
      </c>
      <c r="C11" s="54"/>
      <c r="F11" s="170" t="s">
        <v>11</v>
      </c>
      <c r="G11" s="164"/>
      <c r="H11" s="164"/>
    </row>
    <row r="12" spans="1:8" ht="11.25">
      <c r="A12">
        <v>6</v>
      </c>
      <c r="B12" s="54"/>
      <c r="C12" s="51"/>
      <c r="F12" s="164"/>
      <c r="G12" s="164"/>
      <c r="H12" s="164"/>
    </row>
    <row r="13" spans="1:8" ht="11.25">
      <c r="A13">
        <v>7</v>
      </c>
      <c r="B13" s="84">
        <v>1</v>
      </c>
      <c r="C13" s="51"/>
      <c r="F13" s="164"/>
      <c r="G13" s="164"/>
      <c r="H13" s="164"/>
    </row>
    <row r="14" spans="1:8" ht="11.25">
      <c r="A14">
        <v>1</v>
      </c>
      <c r="B14" s="54" t="str">
        <f>F14</f>
        <v>18V DC / 16V AC</v>
      </c>
      <c r="C14" s="51" t="str">
        <f>H14</f>
        <v>1</v>
      </c>
      <c r="F14" s="169" t="str">
        <f>HLOOKUP('Date Drivers'!$B$1,'Date Drivers'!$B$2:$D$57,25,FALSE)</f>
        <v>18V DC / 16V AC</v>
      </c>
      <c r="G14" s="164"/>
      <c r="H14" s="169" t="str">
        <f>HLOOKUP('Date Drivers'!$B$1,'Date Drivers'!$B$2:$D$57,39,FALSE)</f>
        <v>1</v>
      </c>
    </row>
    <row r="15" spans="1:8" ht="11.25">
      <c r="A15">
        <v>2</v>
      </c>
      <c r="B15" s="54" t="str">
        <f>F15</f>
        <v>35V DC / 33V AC</v>
      </c>
      <c r="C15" s="51" t="str">
        <f>H15</f>
        <v>2</v>
      </c>
      <c r="F15" s="169" t="str">
        <f>HLOOKUP('Date Drivers'!$B$1,'Date Drivers'!$B$2:$D$57,26,FALSE)</f>
        <v>35V DC / 33V AC</v>
      </c>
      <c r="G15" s="164"/>
      <c r="H15" s="169" t="str">
        <f>HLOOKUP('Date Drivers'!$B$1,'Date Drivers'!$B$2:$D$57,40,FALSE)</f>
        <v>2</v>
      </c>
    </row>
    <row r="16" spans="1:8" ht="11.25">
      <c r="A16">
        <v>3</v>
      </c>
      <c r="B16" s="54" t="str">
        <f>F16</f>
        <v>77V DC / 75V AC</v>
      </c>
      <c r="C16" s="51" t="str">
        <f>H16</f>
        <v>3</v>
      </c>
      <c r="F16" s="169" t="str">
        <f>HLOOKUP('Date Drivers'!$B$1,'Date Drivers'!$B$2:$D$57,27,FALSE)</f>
        <v>77V DC / 75V AC</v>
      </c>
      <c r="G16" s="164"/>
      <c r="H16" s="169" t="str">
        <f>HLOOKUP('Date Drivers'!$B$1,'Date Drivers'!$B$2:$D$57,41,FALSE)</f>
        <v>3</v>
      </c>
    </row>
    <row r="17" spans="1:8" ht="11.25">
      <c r="A17">
        <v>4</v>
      </c>
      <c r="B17" s="54" t="str">
        <f>F17</f>
        <v>154V DC / 152V AC</v>
      </c>
      <c r="C17" s="51" t="str">
        <f>H17</f>
        <v>4</v>
      </c>
      <c r="F17" s="169" t="str">
        <f>HLOOKUP('Date Drivers'!$B$1,'Date Drivers'!$B$2:$D$57,28,FALSE)</f>
        <v>154V DC / 152V AC</v>
      </c>
      <c r="G17" s="164"/>
      <c r="H17" s="169" t="str">
        <f>HLOOKUP('Date Drivers'!$B$1,'Date Drivers'!$B$2:$D$57,42,FALSE)</f>
        <v>4</v>
      </c>
    </row>
    <row r="18" spans="1:8" ht="11.25">
      <c r="A18">
        <v>5</v>
      </c>
      <c r="B18" s="54"/>
      <c r="C18" s="51"/>
      <c r="F18" s="164"/>
      <c r="G18" s="164"/>
      <c r="H18" s="164"/>
    </row>
    <row r="19" spans="1:8" ht="11.25">
      <c r="A19">
        <v>6</v>
      </c>
      <c r="B19" s="54"/>
      <c r="C19" s="51"/>
      <c r="F19" s="164"/>
      <c r="G19" s="164"/>
      <c r="H19" s="164"/>
    </row>
    <row r="20" spans="1:8" ht="11.25">
      <c r="A20">
        <v>7</v>
      </c>
      <c r="B20" s="54"/>
      <c r="C20" s="51"/>
      <c r="F20" s="164"/>
      <c r="G20" s="164"/>
      <c r="H20" s="164"/>
    </row>
    <row r="21" spans="1:8" ht="11.25">
      <c r="A21">
        <v>8</v>
      </c>
      <c r="B21" s="54"/>
      <c r="C21" s="51"/>
      <c r="F21" s="164"/>
      <c r="G21" s="164"/>
      <c r="H21" s="164"/>
    </row>
    <row r="22" spans="1:8" ht="11.25">
      <c r="A22">
        <v>9</v>
      </c>
      <c r="B22" s="54"/>
      <c r="C22" s="51"/>
      <c r="F22" s="164"/>
      <c r="G22" s="164"/>
      <c r="H22" s="164"/>
    </row>
    <row r="23" spans="1:11" ht="11.25">
      <c r="A23">
        <v>10</v>
      </c>
      <c r="B23" s="55"/>
      <c r="C23" s="52" t="str">
        <f>HLOOKUP('Date Drivers'!$B$1,'Date Drivers'!$B$2:$H$106,9)</f>
        <v> </v>
      </c>
      <c r="E23" s="149"/>
      <c r="F23" s="164"/>
      <c r="G23" s="164"/>
      <c r="H23" s="164"/>
      <c r="I23" s="94"/>
      <c r="J23" s="13"/>
      <c r="K23" s="13"/>
    </row>
    <row r="24" spans="4:8" ht="11.25">
      <c r="D24" s="13"/>
      <c r="F24" s="164"/>
      <c r="G24" s="164"/>
      <c r="H24" s="164"/>
    </row>
    <row r="25" spans="2:8" ht="11.25">
      <c r="B25" s="95">
        <v>1</v>
      </c>
      <c r="C25" s="171" t="str">
        <f>CONCATENATE($C$1,$C$6)</f>
        <v>P1541</v>
      </c>
      <c r="D25" s="13"/>
      <c r="F25" s="164" t="s">
        <v>148</v>
      </c>
      <c r="G25" s="164"/>
      <c r="H25" s="164" t="s">
        <v>148</v>
      </c>
    </row>
    <row r="26" spans="1:8" ht="11.25">
      <c r="A26" s="93">
        <v>1</v>
      </c>
      <c r="B26" s="53" t="str">
        <f>HLOOKUP($C$25,$F$25:$F$29,2)</f>
        <v>Standard CT</v>
      </c>
      <c r="C26" s="54" t="str">
        <f>HLOOKUP($C$25,$H$25:$H$27,2)</f>
        <v>1</v>
      </c>
      <c r="D26" s="13"/>
      <c r="F26" s="169" t="str">
        <f>HLOOKUP('Date Drivers'!$B$1,'Date Drivers'!$B$2:$D$72,57,FALSE)</f>
        <v>Standard CT</v>
      </c>
      <c r="G26" s="164"/>
      <c r="H26" s="169" t="str">
        <f>HLOOKUP('Date Drivers'!$B$1,'Date Drivers'!$B$2:$D$72,64,FALSE)</f>
        <v>1</v>
      </c>
    </row>
    <row r="27" spans="1:8" ht="11.25">
      <c r="A27" s="94">
        <v>2</v>
      </c>
      <c r="B27" s="54" t="str">
        <f>HLOOKUP($C$25,$F$25:$F$29,3)</f>
        <v>SEF CT</v>
      </c>
      <c r="C27" s="54" t="str">
        <f>HLOOKUP($C$25,$H$25:$H$27,3)</f>
        <v>2</v>
      </c>
      <c r="D27" s="13"/>
      <c r="F27" s="169" t="str">
        <f>IF($B$61&gt;=3,"SEF CT not available with KCEG Retrofit Option",HLOOKUP('Date Drivers'!$B$1,'Date Drivers'!$B$2:$D$72,58,FALSE))</f>
        <v>SEF CT</v>
      </c>
      <c r="G27" s="164"/>
      <c r="H27" s="169" t="str">
        <f>IF($B$61=3,"*",HLOOKUP('Date Drivers'!$B$1,'Date Drivers'!$B$2:$D$72,65,FALSE))</f>
        <v>2</v>
      </c>
    </row>
    <row r="28" spans="1:8" ht="11.25">
      <c r="A28" s="94">
        <v>3</v>
      </c>
      <c r="B28" s="96"/>
      <c r="C28" s="51"/>
      <c r="D28" s="13"/>
      <c r="F28" s="164"/>
      <c r="G28" s="164"/>
      <c r="H28" s="164"/>
    </row>
    <row r="29" spans="1:8" ht="11.25">
      <c r="A29" s="49">
        <v>4</v>
      </c>
      <c r="B29" s="55"/>
      <c r="C29" s="52"/>
      <c r="D29" s="13"/>
      <c r="F29" s="164"/>
      <c r="G29" s="164"/>
      <c r="H29" s="164"/>
    </row>
    <row r="30" spans="1:8" ht="11.25">
      <c r="A30" s="94"/>
      <c r="B30" s="147"/>
      <c r="C30" s="148"/>
      <c r="D30" s="13"/>
      <c r="F30" s="164"/>
      <c r="G30" s="164"/>
      <c r="H30" s="164"/>
    </row>
    <row r="31" spans="1:8" ht="11.25">
      <c r="A31" s="94"/>
      <c r="B31" s="147"/>
      <c r="C31" s="103">
        <f>Configurator!H10</f>
        <v>0</v>
      </c>
      <c r="D31" s="13"/>
      <c r="F31" s="164"/>
      <c r="G31" s="164"/>
      <c r="H31" s="164"/>
    </row>
    <row r="32" spans="2:18" ht="11.25">
      <c r="B32" s="84">
        <v>1</v>
      </c>
      <c r="C32" s="169" t="str">
        <f>Configurator!H16</f>
        <v>1</v>
      </c>
      <c r="D32" s="201"/>
      <c r="F32" s="164" t="s">
        <v>1</v>
      </c>
      <c r="G32" s="164"/>
      <c r="H32" s="164" t="s">
        <v>1</v>
      </c>
      <c r="J32" s="164" t="s">
        <v>1</v>
      </c>
      <c r="K32" s="164" t="s">
        <v>4</v>
      </c>
      <c r="L32" s="164" t="s">
        <v>2</v>
      </c>
      <c r="M32" s="164" t="s">
        <v>29</v>
      </c>
      <c r="O32" s="164" t="s">
        <v>1</v>
      </c>
      <c r="P32" s="164" t="s">
        <v>4</v>
      </c>
      <c r="Q32" s="164" t="s">
        <v>2</v>
      </c>
      <c r="R32" s="164" t="s">
        <v>29</v>
      </c>
    </row>
    <row r="33" spans="1:18" ht="11.25">
      <c r="A33" s="47">
        <v>1</v>
      </c>
      <c r="B33" s="53" t="str">
        <f>F33</f>
        <v>EIA RS485 only</v>
      </c>
      <c r="C33" s="54" t="str">
        <f>H33</f>
        <v>1</v>
      </c>
      <c r="F33" s="169" t="str">
        <f>HLOOKUP('Date Drivers'!$B$1,'Date Drivers'!$B$2:$D$172,87,FALSE)</f>
        <v>EIA RS485 only</v>
      </c>
      <c r="G33" s="164"/>
      <c r="H33" s="169" t="str">
        <f>HLOOKUP('Date Drivers'!$B$1,'Date Drivers'!$B$2:$D$392,306,FALSE)</f>
        <v>1</v>
      </c>
      <c r="J33" s="169" t="str">
        <f>HLOOKUP('Date Drivers'!$B$1,'Date Drivers'!$B$2:$D$172,87,FALSE)</f>
        <v>EIA RS485 only</v>
      </c>
      <c r="K33" s="169" t="str">
        <f>HLOOKUP('Date Drivers'!$B$1,'Date Drivers'!$B$2:$D$172,90,FALSE)</f>
        <v> </v>
      </c>
      <c r="L33" s="169" t="str">
        <f>HLOOKUP('Date Drivers'!$B$1,'Date Drivers'!$B$2:$D$172,87,FALSE)</f>
        <v>EIA RS485 only</v>
      </c>
      <c r="M33" s="169" t="str">
        <f>HLOOKUP('Date Drivers'!$B$1,'Date Drivers'!$B$2:$D$172,87,FALSE)</f>
        <v>EIA RS485 only</v>
      </c>
      <c r="O33" s="169" t="str">
        <f>HLOOKUP('Date Drivers'!$B$1,'Date Drivers'!$B$2:$D$172,103,FALSE)</f>
        <v>1</v>
      </c>
      <c r="P33" s="169" t="str">
        <f>HLOOKUP('Date Drivers'!$B$1,'Date Drivers'!$B$2:$D$172,106,FALSE)</f>
        <v> </v>
      </c>
      <c r="Q33" s="169" t="str">
        <f>HLOOKUP('Date Drivers'!$B$1,'Date Drivers'!$B$2:$D$172,103,FALSE)</f>
        <v>1</v>
      </c>
      <c r="R33" s="169" t="str">
        <f>HLOOKUP('Date Drivers'!$B$1,'Date Drivers'!$B$2:$D$172,103,FALSE)</f>
        <v>1</v>
      </c>
    </row>
    <row r="34" spans="1:18" ht="11.25">
      <c r="A34" s="48">
        <v>2</v>
      </c>
      <c r="B34" s="54"/>
      <c r="C34" s="54"/>
      <c r="F34" s="170" t="s">
        <v>11</v>
      </c>
      <c r="G34" s="164"/>
      <c r="H34" s="169" t="str">
        <f>HLOOKUP('Date Drivers'!$B$1,'Date Drivers'!$B$2:$D$392,306,FALSE)</f>
        <v>1</v>
      </c>
      <c r="J34" s="169" t="str">
        <f>HLOOKUP('Date Drivers'!$B$1,'Date Drivers'!$B$2:$D$172,88,FALSE)</f>
        <v> </v>
      </c>
      <c r="K34" s="170" t="s">
        <v>11</v>
      </c>
      <c r="L34" s="170" t="s">
        <v>11</v>
      </c>
      <c r="M34" s="170" t="s">
        <v>11</v>
      </c>
      <c r="O34" s="169" t="str">
        <f>HLOOKUP('Date Drivers'!$B$1,'Date Drivers'!$B$2:$D$172,104,FALSE)</f>
        <v> </v>
      </c>
      <c r="P34" s="169" t="str">
        <f>HLOOKUP('Date Drivers'!$B$1,'Date Drivers'!$B$2:$D$172,106,FALSE)</f>
        <v> </v>
      </c>
      <c r="Q34" s="169" t="str">
        <f>HLOOKUP('Date Drivers'!$B$1,'Date Drivers'!$B$2:$D$172,103,FALSE)</f>
        <v>1</v>
      </c>
      <c r="R34" s="169" t="str">
        <f>HLOOKUP('Date Drivers'!$B$1,'Date Drivers'!$B$2:$D$172,103,FALSE)</f>
        <v>1</v>
      </c>
    </row>
    <row r="35" spans="1:18" ht="11.25">
      <c r="A35" s="48">
        <v>3</v>
      </c>
      <c r="B35" s="54"/>
      <c r="C35" s="54"/>
      <c r="F35" s="170" t="s">
        <v>11</v>
      </c>
      <c r="G35" s="164"/>
      <c r="H35" s="169" t="str">
        <f>HLOOKUP('Date Drivers'!$B$1,'Date Drivers'!$B$2:$D$392,306,FALSE)</f>
        <v>1</v>
      </c>
      <c r="J35" s="169" t="str">
        <f>HLOOKUP('Date Drivers'!$B$1,'Date Drivers'!$B$2:$D$172,89,FALSE)</f>
        <v> </v>
      </c>
      <c r="K35" s="170" t="s">
        <v>11</v>
      </c>
      <c r="L35" s="170" t="s">
        <v>11</v>
      </c>
      <c r="M35" s="170" t="s">
        <v>11</v>
      </c>
      <c r="O35" s="169" t="str">
        <f>HLOOKUP('Date Drivers'!$B$1,'Date Drivers'!$B$2:$D$172,105,FALSE)</f>
        <v> </v>
      </c>
      <c r="P35" s="169" t="str">
        <f>HLOOKUP('Date Drivers'!$B$1,'Date Drivers'!$B$2:$D$172,106,FALSE)</f>
        <v> </v>
      </c>
      <c r="Q35" s="169" t="str">
        <f>HLOOKUP('Date Drivers'!$B$1,'Date Drivers'!$B$2:$D$172,103,FALSE)</f>
        <v>1</v>
      </c>
      <c r="R35" s="169" t="str">
        <f>HLOOKUP('Date Drivers'!$B$1,'Date Drivers'!$B$2:$D$172,103,FALSE)</f>
        <v>1</v>
      </c>
    </row>
    <row r="36" spans="1:18" ht="11.25">
      <c r="A36" s="48">
        <v>4</v>
      </c>
      <c r="B36" s="189" t="s">
        <v>11</v>
      </c>
      <c r="C36" s="189" t="s">
        <v>11</v>
      </c>
      <c r="F36" s="169" t="str">
        <f>HLOOKUP('Date Drivers'!$B$1,'Date Drivers'!$B$2:$D$172,90,FALSE)</f>
        <v> </v>
      </c>
      <c r="G36" s="164"/>
      <c r="H36" s="169" t="str">
        <f>HLOOKUP('Date Drivers'!$B$1,'Date Drivers'!$B$2:$D$392,309,FALSE)</f>
        <v>*</v>
      </c>
      <c r="J36" s="92" t="s">
        <v>62</v>
      </c>
      <c r="K36" s="170" t="s">
        <v>11</v>
      </c>
      <c r="L36" s="170" t="s">
        <v>11</v>
      </c>
      <c r="M36" s="170" t="s">
        <v>11</v>
      </c>
      <c r="O36" s="170" t="s">
        <v>17</v>
      </c>
      <c r="P36" s="169" t="str">
        <f>HLOOKUP('Date Drivers'!$B$1,'Date Drivers'!$B$2:$D$172,106,FALSE)</f>
        <v> </v>
      </c>
      <c r="Q36" s="169" t="str">
        <f>HLOOKUP('Date Drivers'!$B$1,'Date Drivers'!$B$2:$D$172,103,FALSE)</f>
        <v>1</v>
      </c>
      <c r="R36" s="169" t="str">
        <f>HLOOKUP('Date Drivers'!$B$1,'Date Drivers'!$B$2:$D$172,103,FALSE)</f>
        <v>1</v>
      </c>
    </row>
    <row r="37" spans="1:8" ht="11.25">
      <c r="A37" s="48">
        <v>5</v>
      </c>
      <c r="B37" s="151"/>
      <c r="C37" s="149"/>
      <c r="F37" s="164"/>
      <c r="G37" s="164"/>
      <c r="H37" s="164"/>
    </row>
    <row r="38" spans="1:8" ht="11.25">
      <c r="A38" s="48">
        <v>6</v>
      </c>
      <c r="B38" s="151"/>
      <c r="C38" s="149"/>
      <c r="F38" s="164"/>
      <c r="G38" s="164"/>
      <c r="H38" s="164"/>
    </row>
    <row r="39" spans="1:8" ht="11.25">
      <c r="A39" s="48">
        <v>7</v>
      </c>
      <c r="B39" s="151"/>
      <c r="C39" s="149"/>
      <c r="F39" s="164"/>
      <c r="G39" s="164"/>
      <c r="H39" s="164"/>
    </row>
    <row r="40" spans="1:8" ht="11.25">
      <c r="A40" s="48">
        <v>8</v>
      </c>
      <c r="B40" s="152"/>
      <c r="C40" s="89"/>
      <c r="F40" s="164"/>
      <c r="G40" s="164"/>
      <c r="H40" s="164"/>
    </row>
    <row r="41" spans="6:8" ht="11.25">
      <c r="F41" s="164"/>
      <c r="G41" s="164"/>
      <c r="H41" s="164"/>
    </row>
    <row r="42" spans="6:8" ht="11.25">
      <c r="F42" s="164"/>
      <c r="G42" s="164"/>
      <c r="H42" s="164"/>
    </row>
    <row r="43" spans="2:9" ht="11.25">
      <c r="B43" s="95">
        <v>1</v>
      </c>
      <c r="C43" s="169" t="str">
        <f>Configurator!$H$18</f>
        <v>A</v>
      </c>
      <c r="F43" s="92" t="s">
        <v>139</v>
      </c>
      <c r="G43" t="s">
        <v>138</v>
      </c>
      <c r="H43" s="92" t="s">
        <v>139</v>
      </c>
      <c r="I43" s="92" t="s">
        <v>17</v>
      </c>
    </row>
    <row r="44" spans="1:9" ht="11.25">
      <c r="A44" s="93">
        <v>1</v>
      </c>
      <c r="B44" s="53" t="str">
        <f>F44</f>
        <v>Standard (6 logic inputs + 6 relay outputs)</v>
      </c>
      <c r="C44" s="54" t="str">
        <f>G44</f>
        <v>A</v>
      </c>
      <c r="F44" s="169" t="str">
        <f>HLOOKUP('Date Drivers'!$B$1,'Date Drivers'!$B$2:$D$172,124,FALSE)</f>
        <v>Standard (6 logic inputs + 6 relay outputs)</v>
      </c>
      <c r="G44" s="169" t="str">
        <f>HLOOKUP('Date Drivers'!$B$1,'Date Drivers'!$B$2:$D$172,137,FALSE)</f>
        <v>A</v>
      </c>
      <c r="H44" s="169" t="str">
        <f>HLOOKUP('Date Drivers'!$B$1,'Date Drivers'!$B$2:$D$172,137,FALSE)</f>
        <v>A</v>
      </c>
      <c r="I44" s="169" t="str">
        <f>HLOOKUP('Date Drivers'!$B$1,'Date Drivers'!$B$2:$D$172,138,FALSE)</f>
        <v> </v>
      </c>
    </row>
    <row r="45" spans="1:9" ht="11.25">
      <c r="A45" s="94">
        <v>2</v>
      </c>
      <c r="B45" s="54" t="str">
        <f>F45</f>
        <v> </v>
      </c>
      <c r="C45" s="54" t="str">
        <f>G45</f>
        <v>A</v>
      </c>
      <c r="F45" s="169" t="str">
        <f>HLOOKUP('Date Drivers'!$B$1,'Date Drivers'!$B$2:$D$172,125,FALSE)</f>
        <v> </v>
      </c>
      <c r="G45" s="169" t="str">
        <f>HLOOKUP('Date Drivers'!$B$1,'Date Drivers'!$B$2:$D$172,137,FALSE)</f>
        <v>A</v>
      </c>
      <c r="H45" s="169" t="str">
        <f>HLOOKUP('Date Drivers'!$B$1,'Date Drivers'!$B$2:$D$172,139,FALSE)</f>
        <v> </v>
      </c>
      <c r="I45" s="169" t="str">
        <f>HLOOKUP('Date Drivers'!$B$1,'Date Drivers'!$B$2:$D$172,138,FALSE)</f>
        <v> </v>
      </c>
    </row>
    <row r="46" spans="1:9" ht="11.25">
      <c r="A46" s="94">
        <v>3</v>
      </c>
      <c r="B46" s="189" t="s">
        <v>11</v>
      </c>
      <c r="C46" s="54"/>
      <c r="F46" s="169">
        <f>HLOOKUP('Date Drivers'!$B$1,'Date Drivers'!$B$2:$D$172,127,FALSE)</f>
        <v>0</v>
      </c>
      <c r="G46" s="169" t="str">
        <f>HLOOKUP('Date Drivers'!$B$1,'Date Drivers'!$B$2:$D$172,137,FALSE)</f>
        <v>A</v>
      </c>
      <c r="H46" s="169" t="str">
        <f>HLOOKUP('Date Drivers'!$B$1,'Date Drivers'!$B$2:$D$172,140,FALSE)</f>
        <v> </v>
      </c>
      <c r="I46" s="169" t="str">
        <f>HLOOKUP('Date Drivers'!$B$1,'Date Drivers'!$B$2:$D$172,138,FALSE)</f>
        <v> </v>
      </c>
    </row>
    <row r="47" spans="1:9" ht="11.25">
      <c r="A47" s="94">
        <v>4</v>
      </c>
      <c r="B47" s="54"/>
      <c r="C47" s="54"/>
      <c r="F47" s="197" t="s">
        <v>11</v>
      </c>
      <c r="G47" s="164"/>
      <c r="H47" s="197" t="s">
        <v>11</v>
      </c>
      <c r="I47" s="169" t="str">
        <f>HLOOKUP('Date Drivers'!$B$1,'Date Drivers'!$B$2:$D$172,138,FALSE)</f>
        <v> </v>
      </c>
    </row>
    <row r="48" spans="1:8" ht="11.25">
      <c r="A48" s="94">
        <v>5</v>
      </c>
      <c r="B48" s="181" t="s">
        <v>11</v>
      </c>
      <c r="C48" s="157" t="s">
        <v>11</v>
      </c>
      <c r="F48" s="164"/>
      <c r="G48" s="164"/>
      <c r="H48" s="164"/>
    </row>
    <row r="49" spans="1:8" ht="11.25">
      <c r="A49" s="94">
        <v>6</v>
      </c>
      <c r="B49" s="181" t="s">
        <v>11</v>
      </c>
      <c r="C49" s="157" t="s">
        <v>11</v>
      </c>
      <c r="F49" s="164"/>
      <c r="G49" s="164"/>
      <c r="H49" s="164"/>
    </row>
    <row r="50" spans="1:8" ht="11.25">
      <c r="A50" s="90">
        <v>7</v>
      </c>
      <c r="B50" s="182" t="s">
        <v>11</v>
      </c>
      <c r="C50" s="183" t="s">
        <v>11</v>
      </c>
      <c r="F50" s="164"/>
      <c r="G50" s="164"/>
      <c r="H50" s="164"/>
    </row>
    <row r="51" spans="6:18" ht="11.25">
      <c r="F51" s="164"/>
      <c r="G51" s="164"/>
      <c r="H51" s="164"/>
      <c r="J51" s="154" t="s">
        <v>18</v>
      </c>
      <c r="K51" s="154" t="s">
        <v>39</v>
      </c>
      <c r="L51" s="154" t="s">
        <v>41</v>
      </c>
      <c r="M51" s="154" t="s">
        <v>19</v>
      </c>
      <c r="O51" s="154" t="s">
        <v>18</v>
      </c>
      <c r="P51" s="154" t="s">
        <v>39</v>
      </c>
      <c r="Q51" s="154" t="s">
        <v>41</v>
      </c>
      <c r="R51" s="154" t="s">
        <v>19</v>
      </c>
    </row>
    <row r="52" spans="2:18" ht="11.25">
      <c r="B52" s="84">
        <v>1</v>
      </c>
      <c r="F52" s="164"/>
      <c r="G52" s="164"/>
      <c r="H52" s="164"/>
      <c r="J52" s="184" t="str">
        <f>HLOOKUP('Date Drivers'!$B$1,'Date Drivers'!$B$2:$D$172,150,FALSE)</f>
        <v>Modbus / IEC 60870-5-103</v>
      </c>
      <c r="K52" s="184" t="str">
        <f>HLOOKUP('Date Drivers'!$B$1,'Date Drivers'!$B$2:$D$172,154,FALSE)</f>
        <v> </v>
      </c>
      <c r="L52" s="184" t="str">
        <f>HLOOKUP('Date Drivers'!$B$1,'Date Drivers'!$B$2:$D$172,154,FALSE)</f>
        <v> </v>
      </c>
      <c r="M52" s="184" t="str">
        <f>HLOOKUP('Date Drivers'!$B$1,'Date Drivers'!$B$2:$D$172,150,FALSE)</f>
        <v>Modbus / IEC 60870-5-103</v>
      </c>
      <c r="O52" s="155" t="str">
        <f>HLOOKUP('Date Drivers'!$B$1,'Date Drivers'!$B$2:$D$172,163,FALSE)</f>
        <v>1</v>
      </c>
      <c r="P52" s="187" t="str">
        <f>HLOOKUP('Date Drivers'!$B$1,'Date Drivers'!$B$2:$D$172,167,FALSE)</f>
        <v> </v>
      </c>
      <c r="Q52" s="187" t="str">
        <f>HLOOKUP('Date Drivers'!$B$1,'Date Drivers'!$B$2:$D$172,167,FALSE)</f>
        <v> </v>
      </c>
      <c r="R52" s="155" t="str">
        <f>HLOOKUP('Date Drivers'!$B$1,'Date Drivers'!$B$2:$D$172,163,FALSE)</f>
        <v>1</v>
      </c>
    </row>
    <row r="53" spans="1:18" ht="11.25">
      <c r="A53" s="47">
        <v>1</v>
      </c>
      <c r="B53" s="53" t="str">
        <f>HLOOKUP($C$1,$F$2:$F$139,52,FALSE)</f>
        <v>Modbus / IEC 60870-5-103</v>
      </c>
      <c r="C53" s="53" t="str">
        <f>HLOOKUP($C$1,$H$2:$H$139,52,FALSE)</f>
        <v>1</v>
      </c>
      <c r="F53" s="169" t="str">
        <f>HLOOKUP($C$32,$J$51:$M$59,2,FALSE)</f>
        <v>Modbus / IEC 60870-5-103</v>
      </c>
      <c r="G53" s="169"/>
      <c r="H53" s="169" t="str">
        <f>HLOOKUP($C$32,$O$51:$R$59,2,FALSE)</f>
        <v>1</v>
      </c>
      <c r="J53" s="185" t="str">
        <f>HLOOKUP('Date Drivers'!$B$1,'Date Drivers'!$B$2:$D$172,151,FALSE)</f>
        <v>DNP3.0 </v>
      </c>
      <c r="K53" s="186" t="str">
        <f>HLOOKUP('Date Drivers'!$B$1,'Date Drivers'!$B$2:$D$172,155,FALSE)</f>
        <v> </v>
      </c>
      <c r="L53" s="186" t="str">
        <f>HLOOKUP('Date Drivers'!$B$1,'Date Drivers'!$B$2:$D$172,155,FALSE)</f>
        <v> </v>
      </c>
      <c r="M53" s="185" t="str">
        <f>HLOOKUP('Date Drivers'!$B$1,'Date Drivers'!$B$2:$D$172,151,FALSE)</f>
        <v>DNP3.0 </v>
      </c>
      <c r="O53" s="188" t="str">
        <f>HLOOKUP('Date Drivers'!$B$1,'Date Drivers'!$B$2:$D$172,164,FALSE)</f>
        <v>2</v>
      </c>
      <c r="P53" s="187" t="str">
        <f>HLOOKUP('Date Drivers'!$B$1,'Date Drivers'!$B$2:$D$172,168,FALSE)</f>
        <v> </v>
      </c>
      <c r="Q53" s="187" t="str">
        <f>HLOOKUP('Date Drivers'!$B$1,'Date Drivers'!$B$2:$D$172,168,FALSE)</f>
        <v> </v>
      </c>
      <c r="R53" s="188" t="str">
        <f>HLOOKUP('Date Drivers'!$B$1,'Date Drivers'!$B$2:$D$172,164,FALSE)</f>
        <v>2</v>
      </c>
    </row>
    <row r="54" spans="1:18" ht="11.25">
      <c r="A54" s="48">
        <v>2</v>
      </c>
      <c r="B54" s="54" t="str">
        <f>HLOOKUP($C$1,$F$2:$F$139,53,FALSE)</f>
        <v>DNP3.0 </v>
      </c>
      <c r="C54" s="54" t="str">
        <f>HLOOKUP($C$1,$H$2:$H$139,53,FALSE)</f>
        <v>2</v>
      </c>
      <c r="F54" s="169" t="str">
        <f>HLOOKUP($C$32,$J$51:$M$59,3,FALSE)</f>
        <v>DNP3.0 </v>
      </c>
      <c r="G54" s="169"/>
      <c r="H54" s="169" t="str">
        <f>HLOOKUP($C$32,$O$51:$R$59,3,FALSE)</f>
        <v>2</v>
      </c>
      <c r="J54" s="185" t="str">
        <f>HLOOKUP('Date Drivers'!$B$1,'Date Drivers'!$B$2:$D$172,152,FALSE)</f>
        <v> </v>
      </c>
      <c r="K54" s="186" t="str">
        <f>HLOOKUP('Date Drivers'!$B$1,'Date Drivers'!$B$2:$D$172,156,FALSE)</f>
        <v> </v>
      </c>
      <c r="L54" s="186" t="str">
        <f>HLOOKUP('Date Drivers'!$B$1,'Date Drivers'!$B$2:$D$172,156,FALSE)</f>
        <v> </v>
      </c>
      <c r="M54" s="185" t="str">
        <f>HLOOKUP('Date Drivers'!$B$1,'Date Drivers'!$B$2:$D$172,152,FALSE)</f>
        <v> </v>
      </c>
      <c r="O54" s="188" t="str">
        <f>HLOOKUP('Date Drivers'!$B$1,'Date Drivers'!$B$2:$D$172,165,FALSE)</f>
        <v> </v>
      </c>
      <c r="P54" s="187" t="str">
        <f>HLOOKUP('Date Drivers'!$B$1,'Date Drivers'!$B$2:$D$172,169,FALSE)</f>
        <v> </v>
      </c>
      <c r="Q54" s="187" t="str">
        <f>HLOOKUP('Date Drivers'!$B$1,'Date Drivers'!$B$2:$D$172,169,FALSE)</f>
        <v> </v>
      </c>
      <c r="R54" s="188" t="str">
        <f>HLOOKUP('Date Drivers'!$B$1,'Date Drivers'!$B$2:$D$172,165,FALSE)</f>
        <v> </v>
      </c>
    </row>
    <row r="55" spans="1:18" ht="11.25">
      <c r="A55" s="48">
        <v>3</v>
      </c>
      <c r="B55" s="54" t="str">
        <f>HLOOKUP($C$1,$F$2:$F$139,54,FALSE)</f>
        <v> </v>
      </c>
      <c r="C55" s="54" t="str">
        <f>HLOOKUP($C$1,$H$2:$H$139,54,FALSE)</f>
        <v> </v>
      </c>
      <c r="F55" s="169" t="str">
        <f>HLOOKUP($C$32,$J$51:$M$59,4,FALSE)</f>
        <v> </v>
      </c>
      <c r="G55" s="169"/>
      <c r="H55" s="169" t="str">
        <f>HLOOKUP($C$32,$O$51:$R$59,4,FALSE)</f>
        <v> </v>
      </c>
      <c r="J55" s="185" t="str">
        <f>HLOOKUP('Date Drivers'!$B$1,'Date Drivers'!$B$2:$D$172,153,FALSE)</f>
        <v> </v>
      </c>
      <c r="K55" s="153" t="s">
        <v>11</v>
      </c>
      <c r="L55" s="153" t="s">
        <v>11</v>
      </c>
      <c r="M55" s="185" t="str">
        <f>HLOOKUP('Date Drivers'!$B$1,'Date Drivers'!$B$2:$D$172,153,FALSE)</f>
        <v> </v>
      </c>
      <c r="O55" s="187" t="str">
        <f>HLOOKUP('Date Drivers'!$B$1,'Date Drivers'!$B$2:$D$172,166,FALSE)</f>
        <v> </v>
      </c>
      <c r="P55" s="187" t="str">
        <f>HLOOKUP('Date Drivers'!$B$1,'Date Drivers'!$B$2:$D$172,169,FALSE)</f>
        <v> </v>
      </c>
      <c r="Q55" s="187" t="str">
        <f>HLOOKUP('Date Drivers'!$B$1,'Date Drivers'!$B$2:$D$172,169,FALSE)</f>
        <v> </v>
      </c>
      <c r="R55" s="187" t="str">
        <f>HLOOKUP('Date Drivers'!$B$1,'Date Drivers'!$B$2:$D$172,166,FALSE)</f>
        <v> </v>
      </c>
    </row>
    <row r="56" spans="1:18" ht="11.25">
      <c r="A56" s="48">
        <v>4</v>
      </c>
      <c r="B56" s="54" t="str">
        <f>HLOOKUP($C$1,$F$2:$F$139,55,FALSE)</f>
        <v> </v>
      </c>
      <c r="C56" s="54" t="str">
        <f>HLOOKUP($C$1,$H$2:$H$139,55,FALSE)</f>
        <v> </v>
      </c>
      <c r="F56" s="169" t="str">
        <f>HLOOKUP($C$32,$J$51:$M$59,5,FALSE)</f>
        <v> </v>
      </c>
      <c r="G56" s="169"/>
      <c r="H56" s="169" t="str">
        <f>HLOOKUP($C$32,$O$51:$R$59,5,FALSE)</f>
        <v> </v>
      </c>
      <c r="J56" s="51"/>
      <c r="K56" s="153"/>
      <c r="L56" s="51"/>
      <c r="M56" s="51"/>
      <c r="O56" s="51"/>
      <c r="P56" s="153"/>
      <c r="Q56" s="51"/>
      <c r="R56" s="51"/>
    </row>
    <row r="57" spans="1:18" ht="11.25">
      <c r="A57" s="48">
        <v>5</v>
      </c>
      <c r="B57" s="96"/>
      <c r="C57" s="51"/>
      <c r="F57" s="169"/>
      <c r="G57" s="169"/>
      <c r="H57" s="169"/>
      <c r="J57" s="51"/>
      <c r="K57" s="153"/>
      <c r="L57" s="51"/>
      <c r="M57" s="51"/>
      <c r="O57" s="51"/>
      <c r="P57" s="153"/>
      <c r="Q57" s="51"/>
      <c r="R57" s="51"/>
    </row>
    <row r="58" spans="1:18" ht="11.25">
      <c r="A58" s="48">
        <v>6</v>
      </c>
      <c r="B58" s="96"/>
      <c r="C58" s="51"/>
      <c r="F58" s="164"/>
      <c r="G58" s="164"/>
      <c r="H58" s="164"/>
      <c r="J58" s="51"/>
      <c r="K58" s="153"/>
      <c r="L58" s="51"/>
      <c r="M58" s="51"/>
      <c r="O58" s="51"/>
      <c r="P58" s="153"/>
      <c r="Q58" s="51"/>
      <c r="R58" s="51"/>
    </row>
    <row r="59" spans="1:18" ht="11.25">
      <c r="A59" s="48">
        <v>7</v>
      </c>
      <c r="B59" s="97">
        <f>HLOOKUP('Date Drivers'!$B$1,'Date Drivers'!$B$2:$H$106,51)</f>
        <v>0</v>
      </c>
      <c r="C59" s="52">
        <f>HLOOKUP('Date Drivers'!$B$1,'Date Drivers'!$B$2:$H$106,55)</f>
        <v>0</v>
      </c>
      <c r="F59" s="164"/>
      <c r="G59" s="164"/>
      <c r="H59" s="164"/>
      <c r="J59" s="152"/>
      <c r="K59" s="152"/>
      <c r="L59" s="152"/>
      <c r="M59" s="150"/>
      <c r="O59" s="152"/>
      <c r="P59" s="152"/>
      <c r="Q59" s="152"/>
      <c r="R59" s="150"/>
    </row>
    <row r="60" spans="6:8" ht="11.25">
      <c r="F60" s="164"/>
      <c r="G60" s="164"/>
      <c r="H60" s="164"/>
    </row>
    <row r="61" spans="2:18" ht="11.25">
      <c r="B61" s="84">
        <v>1</v>
      </c>
      <c r="C61" s="200">
        <f>B32+B43</f>
        <v>2</v>
      </c>
      <c r="F61" s="164" t="s">
        <v>1</v>
      </c>
      <c r="G61" s="164"/>
      <c r="H61" s="164" t="s">
        <v>1</v>
      </c>
      <c r="J61" s="164" t="s">
        <v>1</v>
      </c>
      <c r="K61" s="164" t="s">
        <v>4</v>
      </c>
      <c r="L61" s="164" t="s">
        <v>2</v>
      </c>
      <c r="M61" s="164" t="s">
        <v>29</v>
      </c>
      <c r="O61" s="164" t="s">
        <v>1</v>
      </c>
      <c r="P61" s="164" t="s">
        <v>4</v>
      </c>
      <c r="Q61" s="164" t="s">
        <v>2</v>
      </c>
      <c r="R61" s="164" t="s">
        <v>29</v>
      </c>
    </row>
    <row r="62" spans="1:18" ht="11.25">
      <c r="A62" s="47">
        <v>1</v>
      </c>
      <c r="B62" s="53" t="str">
        <f>F62</f>
        <v>Non drawout</v>
      </c>
      <c r="C62" s="53" t="str">
        <f>H62</f>
        <v>A</v>
      </c>
      <c r="F62" s="169" t="str">
        <f>(HLOOKUP('Date Drivers'!$B$1,'Date Drivers'!$B$2:$B$392,176))</f>
        <v>Non drawout</v>
      </c>
      <c r="G62" s="164"/>
      <c r="H62" s="169" t="str">
        <f>(HLOOKUP('Date Drivers'!$B$1,'Date Drivers'!$B$2:$B$392,190))</f>
        <v>A</v>
      </c>
      <c r="J62" s="169" t="str">
        <f>IF($B$32&lt;2,(HLOOKUP('Date Drivers'!$B$1,'Date Drivers'!$B$2:$B$192,176)),(HLOOKUP('Date Drivers'!$B$1,'Date Drivers'!$B$2:$D$204,177)))</f>
        <v>Non drawout</v>
      </c>
      <c r="K62" s="169" t="str">
        <f>HLOOKUP('Date Drivers'!$B$1,'Date Drivers'!$B$2:$D$272,177,FALSE)</f>
        <v> </v>
      </c>
      <c r="L62" s="169" t="str">
        <f>HLOOKUP('Date Drivers'!$B$1,'Date Drivers'!$B$2:$D$272,177,FALSE)</f>
        <v> </v>
      </c>
      <c r="M62" s="169" t="str">
        <f>HLOOKUP('Date Drivers'!$B$1,'Date Drivers'!$B$2:$D$272,177,FALSE)</f>
        <v> </v>
      </c>
      <c r="O62" s="169" t="str">
        <f>IF($B$32&lt;2,(HLOOKUP('Date Drivers'!$B$1,'Date Drivers'!$B$2:$B$192,190)),(HLOOKUP('Date Drivers'!$B$1,'Date Drivers'!$B$2:$D$204,191)))</f>
        <v>A</v>
      </c>
      <c r="P62" s="169" t="str">
        <f>HLOOKUP('Date Drivers'!$B$1,'Date Drivers'!$B$2:$D$272,191,FALSE)</f>
        <v> </v>
      </c>
      <c r="Q62" s="169" t="str">
        <f>HLOOKUP('Date Drivers'!$B$1,'Date Drivers'!$B$2:$D$272,191,FALSE)</f>
        <v> </v>
      </c>
      <c r="R62" s="169" t="str">
        <f>HLOOKUP('Date Drivers'!$B$1,'Date Drivers'!$B$2:$D$272,191,FALSE)</f>
        <v> </v>
      </c>
    </row>
    <row r="63" spans="1:18" ht="11.25">
      <c r="A63" s="48">
        <v>2</v>
      </c>
      <c r="B63" s="54"/>
      <c r="C63" s="54"/>
      <c r="F63" s="170" t="s">
        <v>11</v>
      </c>
      <c r="G63" s="92" t="s">
        <v>11</v>
      </c>
      <c r="H63" s="169" t="str">
        <f>(HLOOKUP('Date Drivers'!$B$1,'Date Drivers'!$B$2:$B$292,191))</f>
        <v> </v>
      </c>
      <c r="J63" s="169" t="str">
        <f>IF($B$32&lt;2,(HLOOKUP('Date Drivers'!$B$1,'Date Drivers'!$B$2:$B$192,177)),(HLOOKUP('Date Drivers'!$B$1,'Date Drivers'!$B$2:$D$204,179)))</f>
        <v> </v>
      </c>
      <c r="K63" s="169" t="str">
        <f>IF($B$32&lt;2,(HLOOKUP('Date Drivers'!$B$1,'Date Drivers'!$B$2:$B$192,179)),"")</f>
        <v> </v>
      </c>
      <c r="L63" s="169" t="str">
        <f>IF($B$32&lt;2,(HLOOKUP('Date Drivers'!$B$1,'Date Drivers'!$B$2:$B$192,179)),"")</f>
        <v> </v>
      </c>
      <c r="M63" s="169" t="str">
        <f>IF($B$32&lt;2,(HLOOKUP('Date Drivers'!$B$1,'Date Drivers'!$B$2:$B$192,179)),"")</f>
        <v> </v>
      </c>
      <c r="O63" s="169" t="str">
        <f>IF($B$32&lt;2,(HLOOKUP('Date Drivers'!$B$1,'Date Drivers'!$B$2:$B$192,191)),(HLOOKUP('Date Drivers'!$B$1,'Date Drivers'!$B$2:$D$204,193)))</f>
        <v> </v>
      </c>
      <c r="P63" s="169" t="str">
        <f>HLOOKUP('Date Drivers'!$B$1,'Date Drivers'!$B$2:$D$272,193,FALSE)</f>
        <v> </v>
      </c>
      <c r="Q63" s="169" t="str">
        <f>HLOOKUP('Date Drivers'!$B$1,'Date Drivers'!$B$2:$D$272,193,FALSE)</f>
        <v> </v>
      </c>
      <c r="R63" s="169" t="str">
        <f>HLOOKUP('Date Drivers'!$B$1,'Date Drivers'!$B$2:$D$272,193,FALSE)</f>
        <v> </v>
      </c>
    </row>
    <row r="64" spans="1:18" ht="11.25">
      <c r="A64" s="48">
        <v>3</v>
      </c>
      <c r="B64" s="54"/>
      <c r="C64" s="54"/>
      <c r="F64" s="170" t="s">
        <v>11</v>
      </c>
      <c r="G64" s="164"/>
      <c r="H64" s="169" t="str">
        <f>(HLOOKUP('Date Drivers'!$B$1,'Date Drivers'!$B$2:$B$292,191))</f>
        <v> </v>
      </c>
      <c r="J64" s="169" t="str">
        <f>IF($B$32&lt;2,(HLOOKUP('Date Drivers'!$B$1,'Date Drivers'!$B$2:$B$192,178)),(""))</f>
        <v> </v>
      </c>
      <c r="K64" s="170" t="s">
        <v>11</v>
      </c>
      <c r="L64" s="170" t="s">
        <v>11</v>
      </c>
      <c r="M64" s="170" t="s">
        <v>11</v>
      </c>
      <c r="O64" s="169" t="str">
        <f>IF($B$32&lt;2,(HLOOKUP('Date Drivers'!$B$1,'Date Drivers'!$B$2:$B$193,192)),(HLOOKUP('Date Drivers'!$B$1,'Date Drivers'!$B$2:$D$204,193)))</f>
        <v> </v>
      </c>
      <c r="P64" s="169" t="str">
        <f>HLOOKUP('Date Drivers'!$B$1,'Date Drivers'!$B$2:$D$272,193,FALSE)</f>
        <v> </v>
      </c>
      <c r="Q64" s="169" t="str">
        <f>HLOOKUP('Date Drivers'!$B$1,'Date Drivers'!$B$2:$D$272,193,FALSE)</f>
        <v> </v>
      </c>
      <c r="R64" s="169" t="str">
        <f>HLOOKUP('Date Drivers'!$B$1,'Date Drivers'!$B$2:$D$272,193,FALSE)</f>
        <v> </v>
      </c>
    </row>
    <row r="65" spans="1:18" ht="11.25">
      <c r="A65" s="48">
        <v>4</v>
      </c>
      <c r="B65" s="54"/>
      <c r="C65" s="54"/>
      <c r="F65" s="170" t="s">
        <v>11</v>
      </c>
      <c r="G65" s="164"/>
      <c r="H65" s="169" t="str">
        <f>(HLOOKUP('Date Drivers'!$B$1,'Date Drivers'!$B$2:$B$292,191))</f>
        <v> </v>
      </c>
      <c r="J65" s="169" t="str">
        <f>IF($B$32&lt;2,(HLOOKUP('Date Drivers'!$B$1,'Date Drivers'!$B$2:$B$192,179)),(""))</f>
        <v> </v>
      </c>
      <c r="K65" s="170" t="s">
        <v>11</v>
      </c>
      <c r="L65" s="170" t="s">
        <v>11</v>
      </c>
      <c r="M65" s="170" t="s">
        <v>11</v>
      </c>
      <c r="O65" s="169" t="str">
        <f>HLOOKUP('Date Drivers'!$B$1,'Date Drivers'!$B$2:$D$272,193,FALSE)</f>
        <v> </v>
      </c>
      <c r="P65" s="169" t="str">
        <f>HLOOKUP('Date Drivers'!$B$1,'Date Drivers'!$B$2:$D$272,193,FALSE)</f>
        <v> </v>
      </c>
      <c r="Q65" s="169" t="str">
        <f>HLOOKUP('Date Drivers'!$B$1,'Date Drivers'!$B$2:$D$272,193,FALSE)</f>
        <v> </v>
      </c>
      <c r="R65" s="169" t="str">
        <f>HLOOKUP('Date Drivers'!$B$1,'Date Drivers'!$B$2:$D$272,193,FALSE)</f>
        <v> </v>
      </c>
    </row>
    <row r="66" spans="1:18" ht="11.25">
      <c r="A66" s="48">
        <v>5</v>
      </c>
      <c r="B66" s="54"/>
      <c r="C66" s="54"/>
      <c r="F66" s="170" t="s">
        <v>11</v>
      </c>
      <c r="G66" s="170" t="s">
        <v>11</v>
      </c>
      <c r="H66" s="170" t="s">
        <v>11</v>
      </c>
      <c r="J66" s="92" t="s">
        <v>11</v>
      </c>
      <c r="K66" s="92" t="s">
        <v>11</v>
      </c>
      <c r="L66" s="92" t="s">
        <v>11</v>
      </c>
      <c r="M66" s="92" t="s">
        <v>11</v>
      </c>
      <c r="O66" s="92" t="s">
        <v>11</v>
      </c>
      <c r="P66" s="92" t="s">
        <v>11</v>
      </c>
      <c r="Q66" s="92" t="s">
        <v>11</v>
      </c>
      <c r="R66" s="92" t="s">
        <v>11</v>
      </c>
    </row>
    <row r="67" spans="1:8" ht="11.25">
      <c r="A67" s="48">
        <v>6</v>
      </c>
      <c r="B67" s="96"/>
      <c r="C67" s="54"/>
      <c r="F67" s="164"/>
      <c r="G67" s="164"/>
      <c r="H67" s="164"/>
    </row>
    <row r="68" spans="1:8" ht="11.25">
      <c r="A68" s="48">
        <v>7</v>
      </c>
      <c r="B68" s="97">
        <f>HLOOKUP('Date Drivers'!$B$1,'Date Drivers'!$B$2:$H$106,51)</f>
        <v>0</v>
      </c>
      <c r="C68" s="52">
        <f>HLOOKUP('Date Drivers'!$B$1,'Date Drivers'!$B$2:$H$106,55)</f>
        <v>0</v>
      </c>
      <c r="F68" s="164"/>
      <c r="G68" s="164"/>
      <c r="H68" s="164"/>
    </row>
    <row r="69" spans="6:8" ht="11.25">
      <c r="F69" s="164"/>
      <c r="G69" s="164"/>
      <c r="H69" s="164"/>
    </row>
    <row r="70" spans="2:8" ht="11.25">
      <c r="B70" s="84">
        <v>1</v>
      </c>
      <c r="F70" s="164"/>
      <c r="G70" s="164"/>
      <c r="H70" s="164"/>
    </row>
    <row r="71" spans="1:8" ht="11.25">
      <c r="A71" s="47">
        <v>1</v>
      </c>
      <c r="B71" s="53" t="str">
        <f>F71</f>
        <v>English or French (with French via relay HMI only)</v>
      </c>
      <c r="C71" s="50" t="str">
        <f>H71</f>
        <v>1</v>
      </c>
      <c r="F71" s="169" t="str">
        <f>HLOOKUP('Date Drivers'!$B$1,'Date Drivers'!$B$2:$D$272,204,FALSE)</f>
        <v>English or French (with French via relay HMI only)</v>
      </c>
      <c r="G71" s="169" t="str">
        <f>HLOOKUP('Date Drivers'!$B$1,'Date Drivers'!$B$2:$D$272,204,FALSE)</f>
        <v>English or French (with French via relay HMI only)</v>
      </c>
      <c r="H71" s="169" t="str">
        <f>HLOOKUP('Date Drivers'!$B$1,'Date Drivers'!$B$2:$D$272,213,FALSE)</f>
        <v>1</v>
      </c>
    </row>
    <row r="72" spans="1:8" ht="11.25">
      <c r="A72" s="48">
        <v>2</v>
      </c>
      <c r="B72" s="54" t="str">
        <f>F72</f>
        <v> </v>
      </c>
      <c r="C72" s="157" t="str">
        <f>H72</f>
        <v> </v>
      </c>
      <c r="F72" s="169" t="str">
        <f>HLOOKUP('Date Drivers'!$B$1,'Date Drivers'!$B$2:$D$272,205,FALSE)</f>
        <v> </v>
      </c>
      <c r="G72" s="169" t="str">
        <f>HLOOKUP('Date Drivers'!$B$1,'Date Drivers'!$B$2:$D$272,205,FALSE)</f>
        <v> </v>
      </c>
      <c r="H72" s="169" t="str">
        <f>HLOOKUP('Date Drivers'!$B$1,'Date Drivers'!$B$2:$D$272,214,FALSE)</f>
        <v> </v>
      </c>
    </row>
    <row r="73" spans="1:8" ht="11.25">
      <c r="A73" s="101">
        <v>3</v>
      </c>
      <c r="B73" s="54" t="str">
        <f>F73</f>
        <v> </v>
      </c>
      <c r="C73" s="183" t="str">
        <f>H73</f>
        <v> </v>
      </c>
      <c r="F73" s="169" t="str">
        <f>HLOOKUP('Date Drivers'!$B$1,'Date Drivers'!$B$2:$D$272,206,FALSE)</f>
        <v> </v>
      </c>
      <c r="G73" s="169" t="str">
        <f>HLOOKUP('Date Drivers'!$B$1,'Date Drivers'!$B$2:$D$272,206,FALSE)</f>
        <v> </v>
      </c>
      <c r="H73" s="169" t="str">
        <f>HLOOKUP('Date Drivers'!$B$1,'Date Drivers'!$B$2:$D$272,215,FALSE)</f>
        <v> </v>
      </c>
    </row>
    <row r="74" spans="1:8" ht="11.25">
      <c r="A74" s="193"/>
      <c r="B74" s="191"/>
      <c r="C74" s="190"/>
      <c r="F74" s="164"/>
      <c r="G74" s="164"/>
      <c r="H74" s="164"/>
    </row>
    <row r="75" spans="1:8" ht="11.25">
      <c r="A75" s="36"/>
      <c r="B75" s="192"/>
      <c r="C75" s="190"/>
      <c r="F75" s="164"/>
      <c r="G75" s="164"/>
      <c r="H75" s="164"/>
    </row>
    <row r="76" spans="2:8" ht="11.25">
      <c r="B76" s="203">
        <f ca="1">TODAY()</f>
        <v>42753</v>
      </c>
      <c r="F76" s="164"/>
      <c r="G76" s="164"/>
      <c r="H76" s="164"/>
    </row>
    <row r="77" spans="2:12" ht="11.25">
      <c r="B77" s="84">
        <v>1</v>
      </c>
      <c r="C77" s="204" t="str">
        <f>VLOOKUP($B$77,$A$78:$C$80,3)</f>
        <v>01</v>
      </c>
      <c r="D77" s="91"/>
      <c r="E77" s="13"/>
      <c r="F77" s="91"/>
      <c r="G77" s="91"/>
      <c r="H77" s="91"/>
      <c r="I77" s="13"/>
      <c r="K77" s="190"/>
      <c r="L77" s="190"/>
    </row>
    <row r="78" spans="1:13" ht="11.25">
      <c r="A78" s="47">
        <v>1</v>
      </c>
      <c r="B78" s="53" t="str">
        <f>HLOOKUP($B$76,'Date Drivers'!$B$2:$D$240,222)</f>
        <v>Initial release (v1.xx)</v>
      </c>
      <c r="C78" s="54" t="str">
        <f>HLOOKUP($B$76,'Date Drivers'!$B$2:$D$240,231)</f>
        <v>01</v>
      </c>
      <c r="D78" s="51" t="str">
        <f>VLOOKUP(C78,$A$101:$C$102,3,FALSE)</f>
        <v>A</v>
      </c>
      <c r="E78" s="51"/>
      <c r="F78" s="103" t="str">
        <f>VLOOKUP($C$94,$J$78:$M$78,2,FALSE)</f>
        <v>Initial release (v1.xx)</v>
      </c>
      <c r="G78" s="103"/>
      <c r="H78" s="103" t="str">
        <f>VLOOKUP($C$94,$J$78:$M$78,3,FALSE)</f>
        <v>01</v>
      </c>
      <c r="I78" s="188"/>
      <c r="J78" s="171" t="s">
        <v>1</v>
      </c>
      <c r="K78" s="184" t="str">
        <f>HLOOKUP('Date Drivers'!$B$1,'Date Drivers'!$B$2:$D$272,222,FALSE)</f>
        <v>Initial release (v1.xx)</v>
      </c>
      <c r="L78" s="184" t="str">
        <f>HLOOKUP('Date Drivers'!$B$1,'Date Drivers'!$B$2:$D$272,231,FALSE)</f>
        <v>01</v>
      </c>
      <c r="M78" s="164"/>
    </row>
    <row r="79" spans="1:13" ht="11.25">
      <c r="A79" s="48">
        <v>2</v>
      </c>
      <c r="B79" s="54" t="str">
        <f>HLOOKUP($B$76,'Date Drivers'!$B$2:$D$240,223)</f>
        <v> </v>
      </c>
      <c r="C79" s="54" t="str">
        <f>HLOOKUP($B$76,'Date Drivers'!$B$2:$D$240,232)</f>
        <v> </v>
      </c>
      <c r="D79" s="51"/>
      <c r="E79" s="51"/>
      <c r="F79" s="103"/>
      <c r="G79" s="103"/>
      <c r="H79" s="103"/>
      <c r="I79" s="188"/>
      <c r="J79" s="171" t="s">
        <v>1</v>
      </c>
      <c r="K79" s="184" t="str">
        <f>HLOOKUP('Date Drivers'!$B$1,'Date Drivers'!$B$2:$D$272,223,FALSE)</f>
        <v> </v>
      </c>
      <c r="L79" s="184" t="str">
        <f>HLOOKUP('Date Drivers'!$B$1,'Date Drivers'!$B$2:$D$272,232,FALSE)</f>
        <v> </v>
      </c>
      <c r="M79" s="164"/>
    </row>
    <row r="80" spans="1:13" ht="11.25">
      <c r="A80" s="48">
        <v>3</v>
      </c>
      <c r="B80" s="54" t="str">
        <f>HLOOKUP($B$76,'Date Drivers'!$B$2:$D$240,224)</f>
        <v> </v>
      </c>
      <c r="C80" s="54" t="str">
        <f>HLOOKUP($B$76,'Date Drivers'!$B$2:$D$240,233)</f>
        <v> </v>
      </c>
      <c r="D80" s="51"/>
      <c r="E80" s="51"/>
      <c r="F80" s="103"/>
      <c r="G80" s="103"/>
      <c r="H80" s="103"/>
      <c r="I80" s="188"/>
      <c r="J80" s="171"/>
      <c r="K80" s="171"/>
      <c r="L80" s="171"/>
      <c r="M80" s="164"/>
    </row>
    <row r="81" spans="1:13" ht="11.25">
      <c r="A81" s="13"/>
      <c r="B81" s="51"/>
      <c r="C81" s="51"/>
      <c r="D81" s="51"/>
      <c r="E81" s="51"/>
      <c r="F81" s="103"/>
      <c r="G81" s="103"/>
      <c r="H81" s="103"/>
      <c r="I81" s="188"/>
      <c r="J81" s="171"/>
      <c r="K81" s="171"/>
      <c r="L81" s="171"/>
      <c r="M81" s="164"/>
    </row>
    <row r="82" spans="1:13" ht="11.25">
      <c r="A82" s="13"/>
      <c r="B82" s="51"/>
      <c r="C82" s="51"/>
      <c r="D82" s="51"/>
      <c r="E82" s="51"/>
      <c r="F82" s="103"/>
      <c r="G82" s="103"/>
      <c r="H82" s="103"/>
      <c r="I82" s="188"/>
      <c r="J82" s="171"/>
      <c r="K82" s="171"/>
      <c r="L82" s="171"/>
      <c r="M82" s="164"/>
    </row>
    <row r="83" spans="1:13" ht="11.25">
      <c r="A83" s="13"/>
      <c r="B83" s="51"/>
      <c r="C83" s="51"/>
      <c r="D83" s="51"/>
      <c r="E83" s="51"/>
      <c r="F83" s="103"/>
      <c r="G83" s="103"/>
      <c r="H83" s="103"/>
      <c r="I83" s="188"/>
      <c r="J83" s="171"/>
      <c r="K83" s="171"/>
      <c r="L83" s="171"/>
      <c r="M83" s="164"/>
    </row>
    <row r="84" spans="1:13" ht="11.25">
      <c r="A84" s="91"/>
      <c r="B84" s="52"/>
      <c r="C84" s="52"/>
      <c r="D84" s="52"/>
      <c r="E84" s="51"/>
      <c r="F84" s="103"/>
      <c r="G84" s="103"/>
      <c r="H84" s="103"/>
      <c r="I84" s="194"/>
      <c r="J84" s="171"/>
      <c r="K84" s="92"/>
      <c r="L84" s="171"/>
      <c r="M84" s="164"/>
    </row>
    <row r="85" spans="1:12" ht="11.25">
      <c r="A85" s="13"/>
      <c r="B85" s="148"/>
      <c r="C85" s="148"/>
      <c r="D85" s="148"/>
      <c r="E85" s="148"/>
      <c r="F85" s="148"/>
      <c r="G85" s="148"/>
      <c r="H85" s="148"/>
      <c r="I85" s="195"/>
      <c r="J85" s="190"/>
      <c r="K85" s="195"/>
      <c r="L85" s="190"/>
    </row>
    <row r="86" spans="1:12" ht="11.25">
      <c r="A86" s="13"/>
      <c r="B86" s="148"/>
      <c r="C86" s="148"/>
      <c r="D86" s="148"/>
      <c r="E86" s="148"/>
      <c r="F86" s="148"/>
      <c r="G86" s="148"/>
      <c r="H86" s="148"/>
      <c r="I86" s="195"/>
      <c r="J86" s="190"/>
      <c r="K86" s="195"/>
      <c r="L86" s="190"/>
    </row>
    <row r="87" spans="2:12" ht="11.25">
      <c r="B87" s="84">
        <v>1</v>
      </c>
      <c r="C87" s="90" t="s">
        <v>58</v>
      </c>
      <c r="D87" s="91"/>
      <c r="E87" s="13"/>
      <c r="F87" s="91"/>
      <c r="G87" s="91"/>
      <c r="H87" s="91"/>
      <c r="I87" s="13"/>
      <c r="J87" s="13"/>
      <c r="K87" s="13"/>
      <c r="L87" s="13"/>
    </row>
    <row r="88" spans="1:12" ht="11.25">
      <c r="A88" s="47">
        <v>1</v>
      </c>
      <c r="B88" s="53" t="str">
        <f>HLOOKUP($C$1,$F$2:$F$139,87,FALSE)</f>
        <v>Default</v>
      </c>
      <c r="C88" s="54" t="str">
        <f>HLOOKUP($C$1,$H$2:$H$139,87,FALSE)</f>
        <v>0</v>
      </c>
      <c r="D88" s="51"/>
      <c r="E88" s="51"/>
      <c r="F88" s="169" t="str">
        <f>HLOOKUP('Date Drivers'!$B$1,'Date Drivers'!$B$2:$D$272,240,FALSE)</f>
        <v>Default</v>
      </c>
      <c r="G88" s="103"/>
      <c r="H88" s="169" t="str">
        <f>HLOOKUP('Date Drivers'!$B$1,'Date Drivers'!$B$2:$D$272,249,FALSE)</f>
        <v>0</v>
      </c>
      <c r="I88" s="188"/>
      <c r="J88" s="190"/>
      <c r="K88" s="190"/>
      <c r="L88" s="190"/>
    </row>
    <row r="89" spans="1:12" ht="11.25">
      <c r="A89" s="13">
        <v>2</v>
      </c>
      <c r="B89" s="54" t="str">
        <f>HLOOKUP($C$1,$F$2:$F$139,88,FALSE)</f>
        <v>Customer specific</v>
      </c>
      <c r="C89" s="54" t="str">
        <f>HLOOKUP($C$1,$H$2:$H$139,88,FALSE)</f>
        <v>A</v>
      </c>
      <c r="D89" s="51"/>
      <c r="E89" s="51"/>
      <c r="F89" s="169" t="str">
        <f>HLOOKUP('Date Drivers'!$B$1,'Date Drivers'!$B$2:$D$272,241,FALSE)</f>
        <v>Customer specific</v>
      </c>
      <c r="G89" s="103"/>
      <c r="H89" s="169" t="str">
        <f>HLOOKUP('Date Drivers'!$B$1,'Date Drivers'!$B$2:$D$272,250,FALSE)</f>
        <v>A</v>
      </c>
      <c r="I89" s="188"/>
      <c r="J89" s="190"/>
      <c r="K89" s="190"/>
      <c r="L89" s="190"/>
    </row>
    <row r="90" spans="1:12" ht="11.25">
      <c r="A90" s="91"/>
      <c r="B90" s="52"/>
      <c r="C90" s="52"/>
      <c r="D90" s="52"/>
      <c r="E90" s="51"/>
      <c r="F90" s="103"/>
      <c r="G90" s="103"/>
      <c r="H90" s="103"/>
      <c r="I90" s="188"/>
      <c r="J90" s="190"/>
      <c r="K90" s="190"/>
      <c r="L90" s="190"/>
    </row>
    <row r="91" spans="1:12" ht="11.25">
      <c r="A91" s="13"/>
      <c r="B91" s="148"/>
      <c r="C91" s="148"/>
      <c r="D91" s="148"/>
      <c r="E91" s="148"/>
      <c r="F91" s="148"/>
      <c r="G91" s="148"/>
      <c r="H91" s="148"/>
      <c r="I91" s="195"/>
      <c r="J91" s="190"/>
      <c r="K91" s="195"/>
      <c r="L91" s="190"/>
    </row>
    <row r="92" spans="1:12" ht="11.25">
      <c r="A92" s="13"/>
      <c r="B92" s="148"/>
      <c r="C92" s="148"/>
      <c r="D92" s="148"/>
      <c r="E92" s="148"/>
      <c r="F92" s="148"/>
      <c r="G92" s="148"/>
      <c r="H92" s="148"/>
      <c r="I92" s="195"/>
      <c r="J92" s="190"/>
      <c r="K92" s="195"/>
      <c r="L92" s="190"/>
    </row>
    <row r="93" spans="1:12" ht="11.25">
      <c r="A93" s="13"/>
      <c r="B93" s="148"/>
      <c r="C93" s="148"/>
      <c r="D93" s="148"/>
      <c r="E93" s="148"/>
      <c r="F93" s="148"/>
      <c r="G93" s="148"/>
      <c r="H93" s="148"/>
      <c r="I93" s="195"/>
      <c r="J93" s="190"/>
      <c r="K93" s="195"/>
      <c r="L93" s="190"/>
    </row>
    <row r="94" spans="2:12" ht="11.25">
      <c r="B94" s="84">
        <v>1</v>
      </c>
      <c r="C94" s="90" t="s">
        <v>58</v>
      </c>
      <c r="D94" s="91"/>
      <c r="E94" s="13"/>
      <c r="F94" s="91"/>
      <c r="G94" s="91"/>
      <c r="H94" s="91"/>
      <c r="I94" s="13"/>
      <c r="J94" s="13"/>
      <c r="K94" s="13"/>
      <c r="L94" s="13"/>
    </row>
    <row r="95" spans="1:12" ht="11.25">
      <c r="A95" s="47">
        <v>1</v>
      </c>
      <c r="B95" s="51" t="s">
        <v>46</v>
      </c>
      <c r="C95" s="51" t="str">
        <f>D78</f>
        <v>A</v>
      </c>
      <c r="D95" s="51"/>
      <c r="E95" s="51"/>
      <c r="F95" s="51"/>
      <c r="G95" s="51"/>
      <c r="H95" s="51"/>
      <c r="I95" s="188"/>
      <c r="J95" s="190"/>
      <c r="K95" s="190"/>
      <c r="L95" s="190"/>
    </row>
    <row r="96" spans="1:12" ht="11.25">
      <c r="A96" s="13"/>
      <c r="B96" s="51"/>
      <c r="C96" s="51"/>
      <c r="D96" s="51"/>
      <c r="E96" s="51"/>
      <c r="F96" s="51"/>
      <c r="G96" s="51"/>
      <c r="H96" s="51"/>
      <c r="I96" s="188"/>
      <c r="J96" s="190"/>
      <c r="K96" s="190"/>
      <c r="L96" s="190"/>
    </row>
    <row r="97" spans="1:12" ht="11.25">
      <c r="A97" s="91"/>
      <c r="B97" s="52"/>
      <c r="C97" s="52"/>
      <c r="D97" s="52"/>
      <c r="E97" s="51"/>
      <c r="F97" s="52"/>
      <c r="G97" s="52"/>
      <c r="H97" s="52"/>
      <c r="I97" s="188"/>
      <c r="J97" s="190"/>
      <c r="K97" s="190"/>
      <c r="L97" s="190"/>
    </row>
    <row r="98" spans="1:12" ht="11.25">
      <c r="A98" s="13"/>
      <c r="B98" s="148"/>
      <c r="C98" s="148"/>
      <c r="D98" s="148"/>
      <c r="E98" s="148"/>
      <c r="F98" s="148"/>
      <c r="G98" s="148"/>
      <c r="H98" s="148"/>
      <c r="I98" s="195"/>
      <c r="J98" s="190"/>
      <c r="K98" s="195"/>
      <c r="L98" s="190"/>
    </row>
    <row r="101" spans="1:3" ht="11.25">
      <c r="A101" s="92" t="s">
        <v>27</v>
      </c>
      <c r="B101" s="46">
        <f ca="1">TODAY()</f>
        <v>42753</v>
      </c>
      <c r="C101" t="s">
        <v>1</v>
      </c>
    </row>
    <row r="102" spans="1:3" ht="11.25">
      <c r="A102" s="92" t="s">
        <v>147</v>
      </c>
      <c r="B102" s="104">
        <f ca="1">TODAY()</f>
        <v>42753</v>
      </c>
      <c r="C102" t="s">
        <v>1</v>
      </c>
    </row>
    <row r="104" ht="11.25">
      <c r="B104" s="102" t="s">
        <v>33</v>
      </c>
    </row>
    <row r="105" ht="11.25">
      <c r="B105" s="156">
        <f>VLOOKUP(C77,$A$102:$B$102,2,FALSE)</f>
        <v>42753</v>
      </c>
    </row>
    <row r="106" spans="2:5" ht="11.25">
      <c r="B106" s="202"/>
      <c r="D106" s="164" t="s">
        <v>112</v>
      </c>
      <c r="E106" s="171">
        <f>Database!B6</f>
        <v>1</v>
      </c>
    </row>
    <row r="107" spans="2:5" ht="11.25">
      <c r="B107" s="202"/>
      <c r="D107" s="164" t="s">
        <v>113</v>
      </c>
      <c r="E107" s="171" t="str">
        <f>Configurator!H14</f>
        <v>1</v>
      </c>
    </row>
    <row r="108" spans="2:5" ht="11.25">
      <c r="B108" s="202"/>
      <c r="D108" s="164" t="s">
        <v>114</v>
      </c>
      <c r="E108" s="171" t="str">
        <f>Configurator!H18</f>
        <v>A</v>
      </c>
    </row>
    <row r="109" spans="2:5" ht="11.25">
      <c r="B109" s="202"/>
      <c r="D109" s="164" t="s">
        <v>116</v>
      </c>
      <c r="E109" s="171" t="str">
        <f>Configurator!H16</f>
        <v>1</v>
      </c>
    </row>
    <row r="110" spans="2:5" ht="11.25">
      <c r="B110" s="202"/>
      <c r="D110" s="164" t="s">
        <v>115</v>
      </c>
      <c r="E110" s="171" t="str">
        <f>Configurator!H22</f>
        <v>A</v>
      </c>
    </row>
    <row r="112" spans="3:7" ht="11.25">
      <c r="C112" s="201" t="str">
        <f>CONCATENATE(Configurator!$H$14,Configurator!$H$18,Configurator!$H$22,Configurator!$H$20,B6)</f>
        <v>1AA11</v>
      </c>
      <c r="G112" t="str">
        <f>CONCATENATE(E107,E108,E110,E109,E106)</f>
        <v>1AA11</v>
      </c>
    </row>
    <row r="113" spans="3:8" ht="11.25">
      <c r="C113" t="s">
        <v>94</v>
      </c>
      <c r="D113" s="197" t="s">
        <v>11</v>
      </c>
      <c r="G113" t="s">
        <v>136</v>
      </c>
      <c r="H113" t="s">
        <v>127</v>
      </c>
    </row>
    <row r="114" spans="3:8" ht="11.25">
      <c r="C114" t="s">
        <v>73</v>
      </c>
      <c r="D114" t="s">
        <v>98</v>
      </c>
      <c r="E114" t="s">
        <v>90</v>
      </c>
      <c r="G114" t="s">
        <v>110</v>
      </c>
      <c r="H114" t="s">
        <v>128</v>
      </c>
    </row>
    <row r="115" spans="3:8" ht="11.25">
      <c r="C115" t="s">
        <v>140</v>
      </c>
      <c r="D115" t="s">
        <v>99</v>
      </c>
      <c r="G115" t="s">
        <v>111</v>
      </c>
      <c r="H115" t="s">
        <v>117</v>
      </c>
    </row>
    <row r="116" spans="3:8" ht="11.25">
      <c r="C116" t="s">
        <v>110</v>
      </c>
      <c r="D116" t="s">
        <v>109</v>
      </c>
      <c r="E116" t="s">
        <v>74</v>
      </c>
      <c r="G116" t="s">
        <v>92</v>
      </c>
      <c r="H116" t="s">
        <v>119</v>
      </c>
    </row>
    <row r="117" spans="3:8" ht="11.25">
      <c r="C117" t="s">
        <v>111</v>
      </c>
      <c r="D117" t="s">
        <v>99</v>
      </c>
      <c r="G117" t="s">
        <v>132</v>
      </c>
      <c r="H117" t="s">
        <v>121</v>
      </c>
    </row>
    <row r="118" spans="3:5" ht="11.25">
      <c r="C118" t="s">
        <v>92</v>
      </c>
      <c r="D118" t="s">
        <v>100</v>
      </c>
      <c r="E118" t="s">
        <v>76</v>
      </c>
    </row>
    <row r="119" spans="3:8" ht="11.25">
      <c r="C119" t="s">
        <v>95</v>
      </c>
      <c r="D119" s="197" t="s">
        <v>11</v>
      </c>
      <c r="G119" t="s">
        <v>130</v>
      </c>
      <c r="H119" t="s">
        <v>123</v>
      </c>
    </row>
    <row r="120" spans="3:8" ht="11.25">
      <c r="C120" t="s">
        <v>78</v>
      </c>
      <c r="D120" t="s">
        <v>101</v>
      </c>
      <c r="E120" t="s">
        <v>79</v>
      </c>
      <c r="G120" t="s">
        <v>134</v>
      </c>
      <c r="H120" t="s">
        <v>125</v>
      </c>
    </row>
    <row r="121" spans="3:8" ht="11.25">
      <c r="C121" t="s">
        <v>96</v>
      </c>
      <c r="D121" s="197" t="s">
        <v>11</v>
      </c>
      <c r="G121" t="s">
        <v>129</v>
      </c>
      <c r="H121" t="s">
        <v>118</v>
      </c>
    </row>
    <row r="122" spans="3:8" ht="11.25">
      <c r="C122" t="s">
        <v>82</v>
      </c>
      <c r="D122" t="s">
        <v>102</v>
      </c>
      <c r="E122" t="s">
        <v>83</v>
      </c>
      <c r="G122" t="s">
        <v>93</v>
      </c>
      <c r="H122" t="s">
        <v>120</v>
      </c>
    </row>
    <row r="123" spans="3:8" ht="11.25">
      <c r="C123" t="s">
        <v>97</v>
      </c>
      <c r="D123" s="197" t="s">
        <v>11</v>
      </c>
      <c r="G123" t="s">
        <v>133</v>
      </c>
      <c r="H123" t="s">
        <v>122</v>
      </c>
    </row>
    <row r="124" spans="3:8" ht="11.25">
      <c r="C124" t="s">
        <v>86</v>
      </c>
      <c r="D124" t="s">
        <v>103</v>
      </c>
      <c r="E124" t="s">
        <v>87</v>
      </c>
      <c r="G124" t="s">
        <v>131</v>
      </c>
      <c r="H124" t="s">
        <v>124</v>
      </c>
    </row>
    <row r="125" spans="3:8" ht="11.25">
      <c r="C125" t="s">
        <v>91</v>
      </c>
      <c r="D125" t="s">
        <v>104</v>
      </c>
      <c r="E125" t="s">
        <v>75</v>
      </c>
      <c r="G125" t="s">
        <v>135</v>
      </c>
      <c r="H125" t="s">
        <v>126</v>
      </c>
    </row>
    <row r="126" spans="3:5" ht="11.25">
      <c r="C126" t="s">
        <v>93</v>
      </c>
      <c r="D126" t="s">
        <v>105</v>
      </c>
      <c r="E126" t="s">
        <v>77</v>
      </c>
    </row>
    <row r="127" spans="3:5" ht="11.25">
      <c r="C127" t="s">
        <v>80</v>
      </c>
      <c r="D127" t="s">
        <v>106</v>
      </c>
      <c r="E127" t="s">
        <v>81</v>
      </c>
    </row>
    <row r="128" spans="3:5" ht="11.25">
      <c r="C128" t="s">
        <v>84</v>
      </c>
      <c r="D128" t="s">
        <v>107</v>
      </c>
      <c r="E128" t="s">
        <v>85</v>
      </c>
    </row>
    <row r="129" spans="3:5" ht="11.25">
      <c r="C129" t="s">
        <v>88</v>
      </c>
      <c r="D129" t="s">
        <v>108</v>
      </c>
      <c r="E129" t="s">
        <v>89</v>
      </c>
    </row>
  </sheetData>
  <sheetProtection password="C927"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E350"/>
  <sheetViews>
    <sheetView zoomScale="85" zoomScaleNormal="85" zoomScalePageLayoutView="0" workbookViewId="0" topLeftCell="A1">
      <pane xSplit="1" ySplit="2" topLeftCell="B168" activePane="bottomRight" state="frozen"/>
      <selection pane="topLeft" activeCell="A1" sqref="A1"/>
      <selection pane="topRight" activeCell="B1" sqref="B1"/>
      <selection pane="bottomLeft" activeCell="A3" sqref="A3"/>
      <selection pane="bottomRight" activeCell="D205" sqref="D205"/>
    </sheetView>
  </sheetViews>
  <sheetFormatPr defaultColWidth="9.140625" defaultRowHeight="12"/>
  <cols>
    <col min="1" max="1" width="16.00390625" style="41" bestFit="1" customWidth="1"/>
    <col min="2" max="2" width="68.421875" style="40" customWidth="1"/>
    <col min="3" max="4" width="68.140625" style="41" customWidth="1"/>
    <col min="5" max="16384" width="9.28125" style="41" customWidth="1"/>
  </cols>
  <sheetData>
    <row r="1" spans="1:4" ht="11.25">
      <c r="A1" s="42" t="s">
        <v>10</v>
      </c>
      <c r="B1" s="156">
        <f>Database!$B$105</f>
        <v>42753</v>
      </c>
      <c r="C1" s="86"/>
      <c r="D1" s="86"/>
    </row>
    <row r="2" spans="2:4" ht="11.25">
      <c r="B2" s="46">
        <v>41343</v>
      </c>
      <c r="C2" s="46">
        <v>42505</v>
      </c>
      <c r="D2" s="156">
        <f ca="1">TODAY()</f>
        <v>42753</v>
      </c>
    </row>
    <row r="3" spans="1:4" ht="11.25">
      <c r="A3" s="41" t="s">
        <v>42</v>
      </c>
      <c r="B3" s="43"/>
      <c r="C3" s="43"/>
      <c r="D3" s="43"/>
    </row>
    <row r="4" spans="2:4" ht="11.25">
      <c r="B4" s="44" t="s">
        <v>163</v>
      </c>
      <c r="C4" s="44" t="s">
        <v>163</v>
      </c>
      <c r="D4" s="44" t="s">
        <v>163</v>
      </c>
    </row>
    <row r="5" spans="2:4" ht="11.25">
      <c r="B5" s="44"/>
      <c r="C5" s="44"/>
      <c r="D5" s="44"/>
    </row>
    <row r="6" spans="2:4" ht="11.25">
      <c r="B6" s="144" t="s">
        <v>11</v>
      </c>
      <c r="C6" s="144" t="s">
        <v>11</v>
      </c>
      <c r="D6" s="144" t="s">
        <v>11</v>
      </c>
    </row>
    <row r="7" spans="2:4" ht="11.25">
      <c r="B7" s="144" t="s">
        <v>11</v>
      </c>
      <c r="C7" s="144" t="s">
        <v>11</v>
      </c>
      <c r="D7" s="144" t="s">
        <v>11</v>
      </c>
    </row>
    <row r="8" spans="2:4" ht="11.25">
      <c r="B8" s="144" t="s">
        <v>11</v>
      </c>
      <c r="C8" s="144" t="s">
        <v>11</v>
      </c>
      <c r="D8" s="144" t="s">
        <v>11</v>
      </c>
    </row>
    <row r="9" spans="2:4" ht="11.25">
      <c r="B9" s="144" t="s">
        <v>11</v>
      </c>
      <c r="C9" s="144" t="s">
        <v>11</v>
      </c>
      <c r="D9" s="144" t="s">
        <v>11</v>
      </c>
    </row>
    <row r="10" spans="2:4" ht="11.25">
      <c r="B10" s="144" t="s">
        <v>11</v>
      </c>
      <c r="C10" s="144" t="s">
        <v>11</v>
      </c>
      <c r="D10" s="144" t="s">
        <v>11</v>
      </c>
    </row>
    <row r="11" spans="2:4" ht="11.25">
      <c r="B11" s="56"/>
      <c r="C11" s="56"/>
      <c r="D11" s="56"/>
    </row>
    <row r="12" spans="2:4" ht="11.25">
      <c r="B12" s="85"/>
      <c r="C12" s="43"/>
      <c r="D12" s="43"/>
    </row>
    <row r="13" spans="2:4" ht="11.25">
      <c r="B13" s="56" t="s">
        <v>148</v>
      </c>
      <c r="C13" s="56" t="s">
        <v>148</v>
      </c>
      <c r="D13" s="56" t="s">
        <v>148</v>
      </c>
    </row>
    <row r="14" spans="2:4" ht="11.25">
      <c r="B14" s="56"/>
      <c r="C14" s="44"/>
      <c r="D14" s="44"/>
    </row>
    <row r="15" spans="2:4" ht="11.25">
      <c r="B15" s="56" t="s">
        <v>11</v>
      </c>
      <c r="C15" s="56"/>
      <c r="D15" s="56"/>
    </row>
    <row r="16" spans="2:4" ht="11.25">
      <c r="B16" s="56" t="s">
        <v>11</v>
      </c>
      <c r="C16" s="56"/>
      <c r="D16" s="56"/>
    </row>
    <row r="17" spans="2:4" ht="11.25">
      <c r="B17" s="56" t="s">
        <v>11</v>
      </c>
      <c r="C17" s="56"/>
      <c r="D17" s="56"/>
    </row>
    <row r="18" spans="2:4" ht="11.25">
      <c r="B18" s="56" t="s">
        <v>11</v>
      </c>
      <c r="C18" s="56"/>
      <c r="D18" s="56"/>
    </row>
    <row r="19" spans="2:4" ht="11.25">
      <c r="B19" s="56" t="s">
        <v>11</v>
      </c>
      <c r="C19" s="56"/>
      <c r="D19" s="56"/>
    </row>
    <row r="20" spans="2:4" ht="11.25">
      <c r="B20" s="56" t="s">
        <v>11</v>
      </c>
      <c r="C20" s="56"/>
      <c r="D20" s="56"/>
    </row>
    <row r="21" spans="2:4" ht="11.25">
      <c r="B21" s="57"/>
      <c r="C21" s="57"/>
      <c r="D21" s="57"/>
    </row>
    <row r="22" spans="1:4" ht="11.25">
      <c r="A22" s="41" t="s">
        <v>141</v>
      </c>
      <c r="B22" s="43" t="s">
        <v>150</v>
      </c>
      <c r="C22" s="43" t="s">
        <v>150</v>
      </c>
      <c r="D22" s="43" t="s">
        <v>150</v>
      </c>
    </row>
    <row r="23" spans="2:4" ht="11.25">
      <c r="B23" s="56" t="s">
        <v>11</v>
      </c>
      <c r="C23" s="56" t="s">
        <v>11</v>
      </c>
      <c r="D23" s="56" t="s">
        <v>11</v>
      </c>
    </row>
    <row r="24" spans="2:4" ht="11.25">
      <c r="B24" s="56" t="s">
        <v>11</v>
      </c>
      <c r="C24" s="56" t="s">
        <v>11</v>
      </c>
      <c r="D24" s="56" t="s">
        <v>11</v>
      </c>
    </row>
    <row r="25" spans="2:4" ht="11.25">
      <c r="B25" s="56" t="s">
        <v>11</v>
      </c>
      <c r="C25" s="56" t="s">
        <v>11</v>
      </c>
      <c r="D25" s="56" t="s">
        <v>11</v>
      </c>
    </row>
    <row r="26" spans="1:4" ht="11.25">
      <c r="A26" s="41" t="s">
        <v>149</v>
      </c>
      <c r="B26" s="56" t="s">
        <v>151</v>
      </c>
      <c r="C26" s="44" t="s">
        <v>151</v>
      </c>
      <c r="D26" s="44" t="s">
        <v>169</v>
      </c>
    </row>
    <row r="27" spans="2:4" ht="11.25">
      <c r="B27" s="56" t="s">
        <v>152</v>
      </c>
      <c r="C27" s="44" t="s">
        <v>152</v>
      </c>
      <c r="D27" s="44" t="s">
        <v>170</v>
      </c>
    </row>
    <row r="28" spans="2:4" ht="11.25">
      <c r="B28" s="56" t="s">
        <v>153</v>
      </c>
      <c r="C28" s="56" t="s">
        <v>153</v>
      </c>
      <c r="D28" s="56" t="s">
        <v>171</v>
      </c>
    </row>
    <row r="29" spans="2:4" ht="11.25">
      <c r="B29" s="56" t="s">
        <v>154</v>
      </c>
      <c r="C29" s="56" t="s">
        <v>154</v>
      </c>
      <c r="D29" s="56" t="s">
        <v>172</v>
      </c>
    </row>
    <row r="30" spans="2:4" ht="11.25">
      <c r="B30" s="56" t="s">
        <v>11</v>
      </c>
      <c r="C30" s="56" t="s">
        <v>11</v>
      </c>
      <c r="D30" s="56" t="s">
        <v>11</v>
      </c>
    </row>
    <row r="31" spans="2:4" ht="11.25">
      <c r="B31" s="56" t="s">
        <v>11</v>
      </c>
      <c r="C31" s="56" t="s">
        <v>11</v>
      </c>
      <c r="D31" s="56" t="s">
        <v>11</v>
      </c>
    </row>
    <row r="32" spans="2:4" ht="11.25">
      <c r="B32" s="56" t="s">
        <v>11</v>
      </c>
      <c r="C32" s="56" t="s">
        <v>11</v>
      </c>
      <c r="D32" s="56" t="s">
        <v>11</v>
      </c>
    </row>
    <row r="33" spans="2:4" ht="11.25">
      <c r="B33" s="56" t="s">
        <v>11</v>
      </c>
      <c r="C33" s="56" t="s">
        <v>11</v>
      </c>
      <c r="D33" s="56" t="s">
        <v>11</v>
      </c>
    </row>
    <row r="34" spans="2:4" ht="11.25">
      <c r="B34" s="56" t="s">
        <v>11</v>
      </c>
      <c r="C34" s="56" t="s">
        <v>11</v>
      </c>
      <c r="D34" s="56" t="s">
        <v>11</v>
      </c>
    </row>
    <row r="35" spans="2:4" ht="11.25">
      <c r="B35" s="56" t="s">
        <v>11</v>
      </c>
      <c r="C35" s="56" t="s">
        <v>11</v>
      </c>
      <c r="D35" s="56" t="s">
        <v>11</v>
      </c>
    </row>
    <row r="36" spans="2:4" ht="11.25">
      <c r="B36" s="56" t="s">
        <v>11</v>
      </c>
      <c r="C36" s="56" t="s">
        <v>11</v>
      </c>
      <c r="D36" s="56" t="s">
        <v>11</v>
      </c>
    </row>
    <row r="37" spans="2:4" ht="11.25">
      <c r="B37" s="56" t="s">
        <v>11</v>
      </c>
      <c r="C37" s="56" t="s">
        <v>11</v>
      </c>
      <c r="D37" s="56" t="s">
        <v>11</v>
      </c>
    </row>
    <row r="38" spans="2:4" ht="11.25">
      <c r="B38" s="56" t="s">
        <v>11</v>
      </c>
      <c r="C38" s="56" t="s">
        <v>11</v>
      </c>
      <c r="D38" s="56" t="s">
        <v>11</v>
      </c>
    </row>
    <row r="39" spans="2:4" ht="11.25">
      <c r="B39" s="57" t="s">
        <v>11</v>
      </c>
      <c r="C39" s="57" t="s">
        <v>11</v>
      </c>
      <c r="D39" s="57" t="s">
        <v>11</v>
      </c>
    </row>
    <row r="40" spans="2:4" ht="11.25">
      <c r="B40" s="85" t="s">
        <v>18</v>
      </c>
      <c r="C40" s="85" t="s">
        <v>18</v>
      </c>
      <c r="D40" s="85" t="s">
        <v>18</v>
      </c>
    </row>
    <row r="41" spans="2:4" ht="11.25">
      <c r="B41" s="56" t="s">
        <v>49</v>
      </c>
      <c r="C41" s="56" t="s">
        <v>49</v>
      </c>
      <c r="D41" s="56" t="s">
        <v>49</v>
      </c>
    </row>
    <row r="42" spans="2:4" ht="11.25">
      <c r="B42" s="56" t="s">
        <v>160</v>
      </c>
      <c r="C42" s="56" t="s">
        <v>160</v>
      </c>
      <c r="D42" s="56" t="s">
        <v>160</v>
      </c>
    </row>
    <row r="43" spans="2:4" ht="11.25">
      <c r="B43" s="56" t="s">
        <v>161</v>
      </c>
      <c r="C43" s="56" t="s">
        <v>161</v>
      </c>
      <c r="D43" s="56" t="s">
        <v>161</v>
      </c>
    </row>
    <row r="44" spans="2:4" ht="11.25">
      <c r="B44" s="56" t="s">
        <v>11</v>
      </c>
      <c r="C44" s="56" t="s">
        <v>11</v>
      </c>
      <c r="D44" s="56" t="s">
        <v>11</v>
      </c>
    </row>
    <row r="45" spans="2:4" ht="11.25">
      <c r="B45" s="56" t="s">
        <v>11</v>
      </c>
      <c r="C45" s="56" t="s">
        <v>11</v>
      </c>
      <c r="D45" s="56" t="s">
        <v>11</v>
      </c>
    </row>
    <row r="46" spans="2:4" ht="11.25">
      <c r="B46" s="56" t="s">
        <v>11</v>
      </c>
      <c r="C46" s="56"/>
      <c r="D46" s="56"/>
    </row>
    <row r="47" spans="2:4" ht="11.25">
      <c r="B47" s="56" t="s">
        <v>11</v>
      </c>
      <c r="C47" s="56"/>
      <c r="D47" s="56"/>
    </row>
    <row r="48" spans="2:4" ht="11.25">
      <c r="B48" s="56" t="s">
        <v>11</v>
      </c>
      <c r="C48" s="56"/>
      <c r="D48" s="56"/>
    </row>
    <row r="49" spans="2:4" ht="11.25">
      <c r="B49" s="56" t="s">
        <v>11</v>
      </c>
      <c r="C49" s="56"/>
      <c r="D49" s="56"/>
    </row>
    <row r="50" spans="2:4" ht="11.25">
      <c r="B50" s="56" t="s">
        <v>11</v>
      </c>
      <c r="C50" s="56"/>
      <c r="D50" s="56"/>
    </row>
    <row r="51" spans="2:4" ht="11.25">
      <c r="B51" s="56" t="s">
        <v>11</v>
      </c>
      <c r="C51" s="56"/>
      <c r="D51" s="56"/>
    </row>
    <row r="52" spans="2:4" ht="11.25">
      <c r="B52" s="56" t="s">
        <v>11</v>
      </c>
      <c r="C52" s="56"/>
      <c r="D52" s="56"/>
    </row>
    <row r="53" spans="2:4" ht="11.25">
      <c r="B53" s="56" t="s">
        <v>11</v>
      </c>
      <c r="C53" s="56"/>
      <c r="D53" s="56"/>
    </row>
    <row r="54" spans="2:4" ht="11.25">
      <c r="B54" s="56" t="s">
        <v>11</v>
      </c>
      <c r="C54" s="56"/>
      <c r="D54" s="56"/>
    </row>
    <row r="55" spans="2:4" ht="11.25">
      <c r="B55" s="56" t="s">
        <v>11</v>
      </c>
      <c r="C55" s="56"/>
      <c r="D55" s="56"/>
    </row>
    <row r="56" spans="2:4" ht="11.25">
      <c r="B56" s="56" t="s">
        <v>11</v>
      </c>
      <c r="C56" s="56"/>
      <c r="D56" s="56"/>
    </row>
    <row r="57" spans="2:4" ht="11.25">
      <c r="B57" s="57" t="s">
        <v>11</v>
      </c>
      <c r="C57" s="57"/>
      <c r="D57" s="57"/>
    </row>
    <row r="58" spans="1:4" ht="11.25">
      <c r="A58" s="41" t="s">
        <v>43</v>
      </c>
      <c r="B58" s="56" t="s">
        <v>155</v>
      </c>
      <c r="C58" s="56" t="s">
        <v>155</v>
      </c>
      <c r="D58" s="56" t="s">
        <v>155</v>
      </c>
    </row>
    <row r="59" spans="2:4" ht="11.25">
      <c r="B59" s="56" t="s">
        <v>156</v>
      </c>
      <c r="C59" s="56" t="s">
        <v>156</v>
      </c>
      <c r="D59" s="56" t="s">
        <v>156</v>
      </c>
    </row>
    <row r="60" spans="2:4" ht="11.25">
      <c r="B60" s="56"/>
      <c r="C60" s="56"/>
      <c r="D60" s="56"/>
    </row>
    <row r="61" spans="2:4" ht="11.25">
      <c r="B61" s="56"/>
      <c r="C61" s="56"/>
      <c r="D61" s="56"/>
    </row>
    <row r="62" spans="2:4" ht="11.25">
      <c r="B62" s="56"/>
      <c r="C62" s="56"/>
      <c r="D62" s="56"/>
    </row>
    <row r="63" spans="2:4" ht="11.25">
      <c r="B63" s="56"/>
      <c r="C63" s="56"/>
      <c r="D63" s="56"/>
    </row>
    <row r="64" spans="2:4" ht="11.25">
      <c r="B64" s="56"/>
      <c r="C64" s="56"/>
      <c r="D64" s="56"/>
    </row>
    <row r="65" spans="2:4" ht="11.25">
      <c r="B65" s="85" t="s">
        <v>18</v>
      </c>
      <c r="C65" s="85" t="s">
        <v>18</v>
      </c>
      <c r="D65" s="85" t="s">
        <v>18</v>
      </c>
    </row>
    <row r="66" spans="2:4" ht="11.25">
      <c r="B66" s="56" t="s">
        <v>49</v>
      </c>
      <c r="C66" s="56" t="s">
        <v>49</v>
      </c>
      <c r="D66" s="56" t="s">
        <v>49</v>
      </c>
    </row>
    <row r="67" spans="2:4" ht="11.25">
      <c r="B67" s="44"/>
      <c r="C67" s="44"/>
      <c r="D67" s="44"/>
    </row>
    <row r="68" spans="2:4" ht="11.25">
      <c r="B68" s="177"/>
      <c r="C68" s="178"/>
      <c r="D68" s="178"/>
    </row>
    <row r="69" spans="2:4" ht="11.25">
      <c r="B69" s="56"/>
      <c r="C69" s="44"/>
      <c r="D69" s="44"/>
    </row>
    <row r="70" spans="2:4" ht="11.25">
      <c r="B70" s="56"/>
      <c r="C70" s="44"/>
      <c r="D70" s="44"/>
    </row>
    <row r="71" spans="2:4" ht="11.25">
      <c r="B71" s="56"/>
      <c r="C71" s="44"/>
      <c r="D71" s="44"/>
    </row>
    <row r="72" spans="2:4" ht="11.25">
      <c r="B72" s="57"/>
      <c r="C72" s="45"/>
      <c r="D72" s="45"/>
    </row>
    <row r="73" spans="1:4" ht="11.25">
      <c r="A73" s="41" t="s">
        <v>43</v>
      </c>
      <c r="B73" s="44" t="s">
        <v>50</v>
      </c>
      <c r="C73" s="44" t="s">
        <v>50</v>
      </c>
      <c r="D73" s="44" t="s">
        <v>50</v>
      </c>
    </row>
    <row r="74" spans="2:4" ht="11.25">
      <c r="B74" s="56" t="s">
        <v>11</v>
      </c>
      <c r="C74" s="56" t="s">
        <v>40</v>
      </c>
      <c r="D74" s="56" t="s">
        <v>40</v>
      </c>
    </row>
    <row r="75" spans="2:4" ht="11.25">
      <c r="B75" s="56"/>
      <c r="C75" s="56"/>
      <c r="D75" s="56"/>
    </row>
    <row r="76" spans="2:4" ht="11.25">
      <c r="B76" s="56"/>
      <c r="C76" s="56"/>
      <c r="D76" s="56"/>
    </row>
    <row r="77" spans="2:4" ht="11.25">
      <c r="B77" s="56"/>
      <c r="C77" s="56"/>
      <c r="D77" s="56"/>
    </row>
    <row r="78" spans="2:4" ht="11.25">
      <c r="B78" s="56"/>
      <c r="C78" s="56"/>
      <c r="D78" s="56"/>
    </row>
    <row r="79" spans="2:4" ht="11.25">
      <c r="B79" s="56"/>
      <c r="C79" s="56"/>
      <c r="D79" s="56"/>
    </row>
    <row r="80" spans="2:4" ht="11.25">
      <c r="B80" s="85" t="s">
        <v>18</v>
      </c>
      <c r="C80" s="85" t="s">
        <v>18</v>
      </c>
      <c r="D80" s="85" t="s">
        <v>18</v>
      </c>
    </row>
    <row r="81" spans="2:4" ht="11.25">
      <c r="B81" s="56" t="s">
        <v>18</v>
      </c>
      <c r="C81" s="56" t="s">
        <v>18</v>
      </c>
      <c r="D81" s="56" t="s">
        <v>18</v>
      </c>
    </row>
    <row r="82" spans="2:4" ht="11.25">
      <c r="B82" s="44"/>
      <c r="C82" s="44"/>
      <c r="D82" s="44"/>
    </row>
    <row r="83" spans="2:4" ht="11.25">
      <c r="B83" s="177"/>
      <c r="C83" s="178"/>
      <c r="D83" s="178"/>
    </row>
    <row r="84" spans="2:4" ht="11.25">
      <c r="B84" s="56"/>
      <c r="C84" s="44"/>
      <c r="D84" s="44"/>
    </row>
    <row r="85" spans="2:4" ht="11.25">
      <c r="B85" s="56"/>
      <c r="C85" s="44"/>
      <c r="D85" s="44"/>
    </row>
    <row r="86" spans="2:4" ht="11.25">
      <c r="B86" s="56"/>
      <c r="C86" s="44"/>
      <c r="D86" s="44"/>
    </row>
    <row r="87" spans="2:4" ht="11.25">
      <c r="B87" s="56"/>
      <c r="C87" s="44"/>
      <c r="D87" s="44"/>
    </row>
    <row r="88" spans="1:4" ht="11.25">
      <c r="A88" s="41" t="s">
        <v>3</v>
      </c>
      <c r="B88" s="139" t="s">
        <v>142</v>
      </c>
      <c r="C88" s="139" t="s">
        <v>142</v>
      </c>
      <c r="D88" s="139" t="s">
        <v>142</v>
      </c>
    </row>
    <row r="89" spans="2:4" ht="11.25">
      <c r="B89" s="144" t="s">
        <v>11</v>
      </c>
      <c r="C89" s="144" t="s">
        <v>11</v>
      </c>
      <c r="D89" s="144" t="s">
        <v>11</v>
      </c>
    </row>
    <row r="90" spans="2:4" ht="11.25">
      <c r="B90" s="144" t="s">
        <v>11</v>
      </c>
      <c r="C90" s="144" t="s">
        <v>11</v>
      </c>
      <c r="D90" s="144" t="s">
        <v>11</v>
      </c>
    </row>
    <row r="91" spans="2:4" ht="11.25">
      <c r="B91" s="144" t="s">
        <v>11</v>
      </c>
      <c r="C91" s="144" t="s">
        <v>11</v>
      </c>
      <c r="D91" s="144" t="s">
        <v>11</v>
      </c>
    </row>
    <row r="92" spans="2:4" ht="11.25">
      <c r="B92" s="44"/>
      <c r="C92" s="165"/>
      <c r="D92" s="165"/>
    </row>
    <row r="93" spans="2:4" ht="11.25">
      <c r="B93" s="44"/>
      <c r="C93" s="165"/>
      <c r="D93" s="165"/>
    </row>
    <row r="94" spans="2:4" ht="11.25">
      <c r="B94" s="44"/>
      <c r="C94" s="165"/>
      <c r="D94" s="165"/>
    </row>
    <row r="95" spans="2:4" ht="11.25">
      <c r="B95" s="44"/>
      <c r="C95" s="165"/>
      <c r="D95" s="165"/>
    </row>
    <row r="96" spans="2:4" ht="11.25">
      <c r="B96" s="56"/>
      <c r="C96" s="144"/>
      <c r="D96" s="144"/>
    </row>
    <row r="97" spans="2:4" ht="11.25">
      <c r="B97" s="56"/>
      <c r="C97" s="165"/>
      <c r="D97" s="165"/>
    </row>
    <row r="98" spans="2:4" ht="11.25">
      <c r="B98" s="56"/>
      <c r="C98" s="144"/>
      <c r="D98" s="144"/>
    </row>
    <row r="99" spans="2:4" ht="11.25">
      <c r="B99" s="56"/>
      <c r="C99" s="144"/>
      <c r="D99" s="144"/>
    </row>
    <row r="100" spans="2:4" ht="11.25">
      <c r="B100" s="44"/>
      <c r="C100" s="165"/>
      <c r="D100" s="165"/>
    </row>
    <row r="101" spans="2:4" ht="11.25">
      <c r="B101" s="44"/>
      <c r="C101" s="165"/>
      <c r="D101" s="165"/>
    </row>
    <row r="102" spans="2:4" ht="11.25">
      <c r="B102" s="56"/>
      <c r="C102" s="165"/>
      <c r="D102" s="165"/>
    </row>
    <row r="103" spans="2:4" ht="11.25">
      <c r="B103" s="45"/>
      <c r="C103" s="165"/>
      <c r="D103" s="165"/>
    </row>
    <row r="104" spans="2:4" ht="11.25">
      <c r="B104" s="85" t="s">
        <v>18</v>
      </c>
      <c r="C104" s="85" t="s">
        <v>18</v>
      </c>
      <c r="D104" s="85" t="s">
        <v>18</v>
      </c>
    </row>
    <row r="105" spans="1:4" ht="11.25">
      <c r="A105" s="87"/>
      <c r="B105" s="56" t="s">
        <v>11</v>
      </c>
      <c r="C105" s="56" t="s">
        <v>11</v>
      </c>
      <c r="D105" s="56" t="s">
        <v>11</v>
      </c>
    </row>
    <row r="106" spans="2:4" ht="11.25">
      <c r="B106" s="56" t="s">
        <v>11</v>
      </c>
      <c r="C106" s="56" t="s">
        <v>11</v>
      </c>
      <c r="D106" s="56" t="s">
        <v>11</v>
      </c>
    </row>
    <row r="107" spans="2:4" ht="11.25">
      <c r="B107" s="56" t="s">
        <v>11</v>
      </c>
      <c r="C107" s="56" t="s">
        <v>11</v>
      </c>
      <c r="D107" s="56" t="s">
        <v>11</v>
      </c>
    </row>
    <row r="108" spans="1:4" ht="11.25">
      <c r="A108" s="87"/>
      <c r="B108" s="44"/>
      <c r="C108" s="44"/>
      <c r="D108" s="44"/>
    </row>
    <row r="109" spans="2:4" ht="11.25">
      <c r="B109" s="44"/>
      <c r="C109" s="44"/>
      <c r="D109" s="44"/>
    </row>
    <row r="110" spans="2:4" ht="11.25">
      <c r="B110" s="44"/>
      <c r="C110" s="44"/>
      <c r="D110" s="44"/>
    </row>
    <row r="111" spans="2:4" ht="11.25">
      <c r="B111" s="44"/>
      <c r="C111" s="44"/>
      <c r="D111" s="44"/>
    </row>
    <row r="112" spans="2:4" ht="11.25">
      <c r="B112" s="56"/>
      <c r="C112" s="56"/>
      <c r="D112" s="56"/>
    </row>
    <row r="113" spans="2:4" ht="11.25">
      <c r="B113" s="56"/>
      <c r="C113" s="56"/>
      <c r="D113" s="56"/>
    </row>
    <row r="114" spans="2:4" ht="11.25">
      <c r="B114" s="56"/>
      <c r="C114" s="56"/>
      <c r="D114" s="56"/>
    </row>
    <row r="115" spans="2:4" ht="11.25">
      <c r="B115" s="56"/>
      <c r="C115" s="56"/>
      <c r="D115" s="56"/>
    </row>
    <row r="116" spans="2:4" ht="11.25">
      <c r="B116" s="44"/>
      <c r="C116" s="44"/>
      <c r="D116" s="44"/>
    </row>
    <row r="117" spans="2:4" ht="11.25">
      <c r="B117" s="44"/>
      <c r="C117" s="44"/>
      <c r="D117" s="44"/>
    </row>
    <row r="118" spans="2:4" ht="11.25">
      <c r="B118" s="56"/>
      <c r="C118" s="56"/>
      <c r="D118" s="56"/>
    </row>
    <row r="119" spans="2:4" ht="11.25">
      <c r="B119" s="45"/>
      <c r="C119" s="45"/>
      <c r="D119" s="45"/>
    </row>
    <row r="120" spans="2:4" ht="11.25">
      <c r="B120" s="144"/>
      <c r="C120" s="144" t="s">
        <v>37</v>
      </c>
      <c r="D120" s="144" t="s">
        <v>37</v>
      </c>
    </row>
    <row r="121" spans="2:4" ht="11.25">
      <c r="B121" s="143"/>
      <c r="C121" s="142" t="s">
        <v>40</v>
      </c>
      <c r="D121" s="142" t="s">
        <v>40</v>
      </c>
    </row>
    <row r="122" spans="2:4" ht="11.25">
      <c r="B122" s="144" t="s">
        <v>30</v>
      </c>
      <c r="C122" s="139" t="s">
        <v>38</v>
      </c>
      <c r="D122" s="139" t="s">
        <v>38</v>
      </c>
    </row>
    <row r="123" spans="2:4" ht="11.25">
      <c r="B123" s="144"/>
      <c r="C123" s="144" t="s">
        <v>37</v>
      </c>
      <c r="D123" s="144" t="s">
        <v>37</v>
      </c>
    </row>
    <row r="124" spans="2:4" ht="11.25">
      <c r="B124" s="143"/>
      <c r="C124" s="142" t="s">
        <v>40</v>
      </c>
      <c r="D124" s="142" t="s">
        <v>40</v>
      </c>
    </row>
    <row r="125" spans="1:5" ht="11.25">
      <c r="A125" s="41" t="s">
        <v>52</v>
      </c>
      <c r="B125" s="43" t="s">
        <v>162</v>
      </c>
      <c r="C125" s="43" t="s">
        <v>162</v>
      </c>
      <c r="D125" s="43" t="s">
        <v>162</v>
      </c>
      <c r="E125" s="146"/>
    </row>
    <row r="126" spans="2:5" ht="11.25">
      <c r="B126" s="56" t="s">
        <v>11</v>
      </c>
      <c r="C126" s="56" t="s">
        <v>11</v>
      </c>
      <c r="D126" s="56" t="s">
        <v>11</v>
      </c>
      <c r="E126" s="140" t="s">
        <v>11</v>
      </c>
    </row>
    <row r="127" spans="2:5" ht="11.25">
      <c r="B127" s="44"/>
      <c r="C127" s="88"/>
      <c r="D127" s="88"/>
      <c r="E127" s="140" t="s">
        <v>11</v>
      </c>
    </row>
    <row r="128" spans="3:5" ht="11.25">
      <c r="C128" s="88"/>
      <c r="D128" s="88"/>
      <c r="E128" s="140" t="s">
        <v>11</v>
      </c>
    </row>
    <row r="129" spans="2:5" ht="11.25">
      <c r="B129" s="144" t="s">
        <v>11</v>
      </c>
      <c r="C129" s="56" t="s">
        <v>11</v>
      </c>
      <c r="D129" s="56" t="s">
        <v>11</v>
      </c>
      <c r="E129" s="140" t="s">
        <v>11</v>
      </c>
    </row>
    <row r="130" spans="2:5" ht="11.25">
      <c r="B130" s="141" t="s">
        <v>11</v>
      </c>
      <c r="C130" s="141" t="s">
        <v>11</v>
      </c>
      <c r="D130" s="141" t="s">
        <v>11</v>
      </c>
      <c r="E130" s="140" t="s">
        <v>11</v>
      </c>
    </row>
    <row r="131" spans="2:5" ht="11.25">
      <c r="B131" s="141" t="s">
        <v>11</v>
      </c>
      <c r="C131" s="141" t="s">
        <v>11</v>
      </c>
      <c r="D131" s="141" t="s">
        <v>11</v>
      </c>
      <c r="E131" s="140" t="s">
        <v>11</v>
      </c>
    </row>
    <row r="132" spans="2:5" ht="11.25">
      <c r="B132" s="141" t="s">
        <v>11</v>
      </c>
      <c r="C132" s="141" t="s">
        <v>11</v>
      </c>
      <c r="D132" s="141" t="s">
        <v>11</v>
      </c>
      <c r="E132" s="140" t="s">
        <v>11</v>
      </c>
    </row>
    <row r="133" spans="2:5" ht="11.25">
      <c r="B133" s="141" t="s">
        <v>11</v>
      </c>
      <c r="C133" s="141" t="s">
        <v>11</v>
      </c>
      <c r="D133" s="141" t="s">
        <v>11</v>
      </c>
      <c r="E133" s="140" t="s">
        <v>11</v>
      </c>
    </row>
    <row r="134" spans="2:5" ht="11.25">
      <c r="B134" s="141" t="s">
        <v>11</v>
      </c>
      <c r="C134" s="141" t="s">
        <v>11</v>
      </c>
      <c r="D134" s="141" t="s">
        <v>11</v>
      </c>
      <c r="E134" s="140" t="s">
        <v>11</v>
      </c>
    </row>
    <row r="135" spans="2:5" ht="11.25">
      <c r="B135" s="141" t="s">
        <v>11</v>
      </c>
      <c r="C135" s="141" t="s">
        <v>11</v>
      </c>
      <c r="D135" s="141" t="s">
        <v>11</v>
      </c>
      <c r="E135" s="140" t="s">
        <v>11</v>
      </c>
    </row>
    <row r="136" spans="2:5" ht="11.25">
      <c r="B136" s="141" t="s">
        <v>11</v>
      </c>
      <c r="C136" s="141" t="s">
        <v>11</v>
      </c>
      <c r="D136" s="141" t="s">
        <v>11</v>
      </c>
      <c r="E136" s="140" t="s">
        <v>11</v>
      </c>
    </row>
    <row r="137" spans="2:5" ht="11.25">
      <c r="B137" s="143"/>
      <c r="C137" s="145"/>
      <c r="D137" s="145"/>
      <c r="E137" s="140" t="s">
        <v>11</v>
      </c>
    </row>
    <row r="138" spans="2:5" ht="11.25">
      <c r="B138" s="144" t="s">
        <v>1</v>
      </c>
      <c r="C138" s="144" t="s">
        <v>1</v>
      </c>
      <c r="D138" s="144" t="s">
        <v>1</v>
      </c>
      <c r="E138" s="140" t="s">
        <v>11</v>
      </c>
    </row>
    <row r="139" spans="2:5" ht="11.25">
      <c r="B139" s="144" t="s">
        <v>11</v>
      </c>
      <c r="C139" s="144" t="s">
        <v>11</v>
      </c>
      <c r="D139" s="144" t="s">
        <v>11</v>
      </c>
      <c r="E139" s="140" t="s">
        <v>11</v>
      </c>
    </row>
    <row r="140" spans="2:5" ht="11.25">
      <c r="B140" s="144" t="s">
        <v>11</v>
      </c>
      <c r="C140" s="144" t="s">
        <v>11</v>
      </c>
      <c r="D140" s="144" t="s">
        <v>11</v>
      </c>
      <c r="E140" s="140" t="s">
        <v>11</v>
      </c>
    </row>
    <row r="141" spans="2:4" ht="11.25">
      <c r="B141" s="144" t="s">
        <v>11</v>
      </c>
      <c r="C141" s="144" t="s">
        <v>11</v>
      </c>
      <c r="D141" s="144" t="s">
        <v>11</v>
      </c>
    </row>
    <row r="142" spans="2:4" ht="11.25">
      <c r="B142" s="144" t="s">
        <v>11</v>
      </c>
      <c r="C142" s="144" t="s">
        <v>11</v>
      </c>
      <c r="D142" s="144" t="s">
        <v>11</v>
      </c>
    </row>
    <row r="143" spans="2:4" ht="11.25">
      <c r="B143" s="141" t="s">
        <v>11</v>
      </c>
      <c r="C143" s="141" t="s">
        <v>11</v>
      </c>
      <c r="D143" s="141" t="s">
        <v>11</v>
      </c>
    </row>
    <row r="144" spans="2:4" ht="11.25">
      <c r="B144" s="141" t="s">
        <v>11</v>
      </c>
      <c r="C144" s="141" t="s">
        <v>11</v>
      </c>
      <c r="D144" s="141" t="s">
        <v>11</v>
      </c>
    </row>
    <row r="145" spans="2:4" ht="11.25">
      <c r="B145" s="141" t="s">
        <v>11</v>
      </c>
      <c r="C145" s="141" t="s">
        <v>11</v>
      </c>
      <c r="D145" s="141" t="s">
        <v>11</v>
      </c>
    </row>
    <row r="146" spans="2:4" ht="11.25">
      <c r="B146" s="141" t="s">
        <v>11</v>
      </c>
      <c r="C146" s="141" t="s">
        <v>11</v>
      </c>
      <c r="D146" s="141" t="s">
        <v>11</v>
      </c>
    </row>
    <row r="147" spans="1:4" ht="11.25">
      <c r="A147" s="87"/>
      <c r="B147" s="141" t="s">
        <v>11</v>
      </c>
      <c r="C147" s="141" t="s">
        <v>11</v>
      </c>
      <c r="D147" s="141" t="s">
        <v>11</v>
      </c>
    </row>
    <row r="148" spans="2:4" ht="11.25">
      <c r="B148" s="141" t="s">
        <v>11</v>
      </c>
      <c r="C148" s="141" t="s">
        <v>11</v>
      </c>
      <c r="D148" s="141" t="s">
        <v>11</v>
      </c>
    </row>
    <row r="149" spans="2:4" ht="11.25">
      <c r="B149" s="141" t="s">
        <v>11</v>
      </c>
      <c r="C149" s="141" t="s">
        <v>11</v>
      </c>
      <c r="D149" s="141" t="s">
        <v>11</v>
      </c>
    </row>
    <row r="150" spans="2:4" ht="11.25">
      <c r="B150" s="143"/>
      <c r="C150" s="143"/>
      <c r="D150" s="143"/>
    </row>
    <row r="151" spans="1:4" ht="11.25">
      <c r="A151" s="41" t="s">
        <v>53</v>
      </c>
      <c r="B151" s="144" t="s">
        <v>143</v>
      </c>
      <c r="C151" s="144" t="s">
        <v>143</v>
      </c>
      <c r="D151" s="144" t="s">
        <v>143</v>
      </c>
    </row>
    <row r="152" spans="2:4" ht="11.25">
      <c r="B152" s="144" t="s">
        <v>159</v>
      </c>
      <c r="C152" s="144" t="s">
        <v>166</v>
      </c>
      <c r="D152" s="144" t="s">
        <v>173</v>
      </c>
    </row>
    <row r="153" spans="2:4" ht="11.25">
      <c r="B153" s="144" t="s">
        <v>11</v>
      </c>
      <c r="C153" s="144" t="s">
        <v>11</v>
      </c>
      <c r="D153" s="144" t="s">
        <v>11</v>
      </c>
    </row>
    <row r="154" spans="2:4" ht="11.25">
      <c r="B154" s="144" t="s">
        <v>11</v>
      </c>
      <c r="C154" s="144" t="s">
        <v>11</v>
      </c>
      <c r="D154" s="144" t="s">
        <v>11</v>
      </c>
    </row>
    <row r="155" spans="2:4" ht="11.25">
      <c r="B155" s="144" t="s">
        <v>11</v>
      </c>
      <c r="C155" s="144" t="s">
        <v>11</v>
      </c>
      <c r="D155" s="144" t="s">
        <v>11</v>
      </c>
    </row>
    <row r="156" spans="2:4" ht="11.25">
      <c r="B156" s="144" t="s">
        <v>11</v>
      </c>
      <c r="C156" s="144" t="s">
        <v>11</v>
      </c>
      <c r="D156" s="144" t="s">
        <v>11</v>
      </c>
    </row>
    <row r="157" spans="2:4" ht="11.25">
      <c r="B157" s="144" t="s">
        <v>11</v>
      </c>
      <c r="C157" s="144" t="s">
        <v>11</v>
      </c>
      <c r="D157" s="144" t="s">
        <v>11</v>
      </c>
    </row>
    <row r="158" spans="2:4" ht="11.25">
      <c r="B158" s="141" t="s">
        <v>11</v>
      </c>
      <c r="C158" s="141" t="s">
        <v>11</v>
      </c>
      <c r="D158" s="141" t="s">
        <v>11</v>
      </c>
    </row>
    <row r="159" spans="2:4" ht="11.25">
      <c r="B159" s="141" t="s">
        <v>11</v>
      </c>
      <c r="C159" s="141" t="s">
        <v>11</v>
      </c>
      <c r="D159" s="141" t="s">
        <v>11</v>
      </c>
    </row>
    <row r="160" spans="2:4" ht="11.25">
      <c r="B160" s="141" t="s">
        <v>11</v>
      </c>
      <c r="C160" s="141" t="s">
        <v>11</v>
      </c>
      <c r="D160" s="141" t="s">
        <v>11</v>
      </c>
    </row>
    <row r="161" spans="2:4" ht="11.25">
      <c r="B161" s="141" t="s">
        <v>11</v>
      </c>
      <c r="C161" s="141" t="s">
        <v>11</v>
      </c>
      <c r="D161" s="141" t="s">
        <v>11</v>
      </c>
    </row>
    <row r="162" spans="2:4" ht="11.25">
      <c r="B162" s="141" t="s">
        <v>11</v>
      </c>
      <c r="C162" s="141" t="s">
        <v>11</v>
      </c>
      <c r="D162" s="141" t="s">
        <v>11</v>
      </c>
    </row>
    <row r="163" spans="2:4" ht="11.25">
      <c r="B163" s="143"/>
      <c r="C163" s="145"/>
      <c r="D163" s="145"/>
    </row>
    <row r="164" spans="2:4" ht="11.25">
      <c r="B164" s="144" t="s">
        <v>18</v>
      </c>
      <c r="C164" s="144" t="s">
        <v>18</v>
      </c>
      <c r="D164" s="144" t="s">
        <v>18</v>
      </c>
    </row>
    <row r="165" spans="2:4" ht="11.25">
      <c r="B165" s="144" t="s">
        <v>49</v>
      </c>
      <c r="C165" s="144" t="s">
        <v>17</v>
      </c>
      <c r="D165" s="144" t="s">
        <v>49</v>
      </c>
    </row>
    <row r="166" spans="2:4" ht="11.25">
      <c r="B166" s="144" t="s">
        <v>11</v>
      </c>
      <c r="C166" s="144" t="s">
        <v>11</v>
      </c>
      <c r="D166" s="144" t="s">
        <v>11</v>
      </c>
    </row>
    <row r="167" spans="2:4" ht="11.25">
      <c r="B167" s="144" t="s">
        <v>11</v>
      </c>
      <c r="C167" s="144" t="s">
        <v>11</v>
      </c>
      <c r="D167" s="144" t="s">
        <v>11</v>
      </c>
    </row>
    <row r="168" spans="2:4" ht="11.25">
      <c r="B168" s="144" t="s">
        <v>11</v>
      </c>
      <c r="C168" s="144" t="s">
        <v>11</v>
      </c>
      <c r="D168" s="144" t="s">
        <v>11</v>
      </c>
    </row>
    <row r="169" spans="2:4" ht="11.25">
      <c r="B169" s="144" t="s">
        <v>11</v>
      </c>
      <c r="C169" s="144" t="s">
        <v>11</v>
      </c>
      <c r="D169" s="144" t="s">
        <v>11</v>
      </c>
    </row>
    <row r="170" spans="2:4" ht="11.25">
      <c r="B170" s="144" t="s">
        <v>11</v>
      </c>
      <c r="C170" s="144" t="s">
        <v>11</v>
      </c>
      <c r="D170" s="144" t="s">
        <v>11</v>
      </c>
    </row>
    <row r="171" spans="2:4" ht="11.25">
      <c r="B171" s="141" t="s">
        <v>11</v>
      </c>
      <c r="C171" s="141" t="s">
        <v>11</v>
      </c>
      <c r="D171" s="141" t="s">
        <v>11</v>
      </c>
    </row>
    <row r="172" spans="2:4" ht="11.25">
      <c r="B172" s="141" t="s">
        <v>11</v>
      </c>
      <c r="C172" s="141" t="s">
        <v>11</v>
      </c>
      <c r="D172" s="141" t="s">
        <v>11</v>
      </c>
    </row>
    <row r="173" spans="2:4" ht="11.25">
      <c r="B173" s="141" t="s">
        <v>11</v>
      </c>
      <c r="C173" s="141" t="s">
        <v>11</v>
      </c>
      <c r="D173" s="141" t="s">
        <v>11</v>
      </c>
    </row>
    <row r="174" spans="2:4" ht="11.25">
      <c r="B174" s="141" t="s">
        <v>11</v>
      </c>
      <c r="C174" s="141" t="s">
        <v>11</v>
      </c>
      <c r="D174" s="141" t="s">
        <v>11</v>
      </c>
    </row>
    <row r="175" spans="2:4" ht="11.25">
      <c r="B175" s="141" t="s">
        <v>11</v>
      </c>
      <c r="C175" s="141" t="s">
        <v>11</v>
      </c>
      <c r="D175" s="141" t="s">
        <v>11</v>
      </c>
    </row>
    <row r="176" spans="2:4" ht="11.25">
      <c r="B176" s="143"/>
      <c r="C176" s="143"/>
      <c r="D176" s="143"/>
    </row>
    <row r="177" spans="1:4" ht="11.25">
      <c r="A177" s="41" t="s">
        <v>5</v>
      </c>
      <c r="B177" s="43" t="s">
        <v>144</v>
      </c>
      <c r="C177" s="43" t="s">
        <v>144</v>
      </c>
      <c r="D177" s="43" t="s">
        <v>144</v>
      </c>
    </row>
    <row r="178" spans="2:4" ht="11.25">
      <c r="B178" s="56" t="s">
        <v>11</v>
      </c>
      <c r="C178" s="56" t="s">
        <v>11</v>
      </c>
      <c r="D178" s="56" t="s">
        <v>11</v>
      </c>
    </row>
    <row r="179" spans="2:4" ht="11.25">
      <c r="B179" s="56" t="s">
        <v>11</v>
      </c>
      <c r="C179" s="56" t="s">
        <v>11</v>
      </c>
      <c r="D179" s="56" t="s">
        <v>11</v>
      </c>
    </row>
    <row r="180" spans="2:4" ht="11.25">
      <c r="B180" s="56" t="s">
        <v>11</v>
      </c>
      <c r="C180" s="56" t="s">
        <v>11</v>
      </c>
      <c r="D180" s="56" t="s">
        <v>11</v>
      </c>
    </row>
    <row r="181" spans="2:4" ht="11.25">
      <c r="B181" s="44"/>
      <c r="C181" s="88"/>
      <c r="D181" s="88"/>
    </row>
    <row r="182" spans="2:4" ht="11.25">
      <c r="B182" s="44"/>
      <c r="C182" s="88"/>
      <c r="D182" s="88"/>
    </row>
    <row r="183" spans="2:4" ht="11.25">
      <c r="B183" s="44"/>
      <c r="C183" s="44"/>
      <c r="D183" s="44"/>
    </row>
    <row r="184" spans="2:4" ht="11.25">
      <c r="B184" s="44"/>
      <c r="C184" s="44"/>
      <c r="D184" s="44"/>
    </row>
    <row r="185" spans="2:4" ht="11.25">
      <c r="B185" s="44"/>
      <c r="C185" s="44"/>
      <c r="D185" s="44"/>
    </row>
    <row r="186" spans="2:4" ht="11.25">
      <c r="B186" s="44"/>
      <c r="C186" s="44"/>
      <c r="D186" s="44"/>
    </row>
    <row r="187" spans="2:4" ht="11.25">
      <c r="B187" s="44"/>
      <c r="C187" s="44"/>
      <c r="D187" s="44"/>
    </row>
    <row r="188" spans="2:4" ht="11.25">
      <c r="B188" s="44"/>
      <c r="C188" s="44"/>
      <c r="D188" s="44"/>
    </row>
    <row r="189" spans="2:4" ht="11.25">
      <c r="B189" s="44"/>
      <c r="C189" s="44"/>
      <c r="D189" s="44"/>
    </row>
    <row r="190" spans="2:4" ht="11.25">
      <c r="B190" s="45"/>
      <c r="C190" s="45"/>
      <c r="D190" s="45"/>
    </row>
    <row r="191" spans="2:4" ht="11.25">
      <c r="B191" s="43" t="s">
        <v>1</v>
      </c>
      <c r="C191" s="43" t="s">
        <v>1</v>
      </c>
      <c r="D191" s="43" t="s">
        <v>1</v>
      </c>
    </row>
    <row r="192" spans="2:4" ht="11.25">
      <c r="B192" s="56" t="s">
        <v>11</v>
      </c>
      <c r="C192" s="56" t="s">
        <v>11</v>
      </c>
      <c r="D192" s="56" t="s">
        <v>11</v>
      </c>
    </row>
    <row r="193" spans="2:4" ht="11.25">
      <c r="B193" s="56" t="s">
        <v>11</v>
      </c>
      <c r="C193" s="56" t="s">
        <v>11</v>
      </c>
      <c r="D193" s="56" t="s">
        <v>11</v>
      </c>
    </row>
    <row r="194" spans="2:4" ht="11.25">
      <c r="B194" s="56" t="s">
        <v>11</v>
      </c>
      <c r="C194" s="56" t="s">
        <v>11</v>
      </c>
      <c r="D194" s="56" t="s">
        <v>11</v>
      </c>
    </row>
    <row r="195" spans="2:4" ht="11.25">
      <c r="B195" s="56" t="s">
        <v>11</v>
      </c>
      <c r="C195" s="56" t="s">
        <v>11</v>
      </c>
      <c r="D195" s="56" t="s">
        <v>11</v>
      </c>
    </row>
    <row r="196" spans="2:4" ht="11.25">
      <c r="B196" s="56" t="s">
        <v>11</v>
      </c>
      <c r="C196" s="56" t="s">
        <v>11</v>
      </c>
      <c r="D196" s="56" t="s">
        <v>11</v>
      </c>
    </row>
    <row r="197" spans="2:4" ht="11.25">
      <c r="B197" s="44"/>
      <c r="C197" s="44"/>
      <c r="D197" s="44"/>
    </row>
    <row r="198" spans="2:4" ht="11.25">
      <c r="B198" s="44"/>
      <c r="C198" s="44"/>
      <c r="D198" s="44"/>
    </row>
    <row r="199" spans="2:4" ht="11.25">
      <c r="B199" s="44"/>
      <c r="C199" s="44"/>
      <c r="D199" s="44"/>
    </row>
    <row r="200" spans="2:4" ht="11.25">
      <c r="B200" s="44"/>
      <c r="C200" s="44"/>
      <c r="D200" s="44"/>
    </row>
    <row r="201" spans="2:4" ht="11.25">
      <c r="B201" s="44"/>
      <c r="C201" s="44"/>
      <c r="D201" s="44"/>
    </row>
    <row r="202" spans="2:4" ht="11.25">
      <c r="B202" s="44"/>
      <c r="C202" s="44"/>
      <c r="D202" s="44"/>
    </row>
    <row r="203" spans="2:4" ht="11.25">
      <c r="B203" s="44"/>
      <c r="C203" s="44"/>
      <c r="D203" s="44"/>
    </row>
    <row r="204" spans="2:4" ht="11.25">
      <c r="B204" s="45"/>
      <c r="C204" s="45"/>
      <c r="D204" s="45"/>
    </row>
    <row r="205" spans="2:4" ht="11.25">
      <c r="B205" s="43" t="s">
        <v>145</v>
      </c>
      <c r="C205" s="43" t="s">
        <v>145</v>
      </c>
      <c r="D205" s="43" t="s">
        <v>175</v>
      </c>
    </row>
    <row r="206" spans="2:4" ht="11.25">
      <c r="B206" s="56" t="s">
        <v>11</v>
      </c>
      <c r="C206" s="56" t="s">
        <v>11</v>
      </c>
      <c r="D206" s="56" t="s">
        <v>11</v>
      </c>
    </row>
    <row r="207" spans="2:4" ht="11.25">
      <c r="B207" s="56" t="s">
        <v>11</v>
      </c>
      <c r="C207" s="56" t="s">
        <v>11</v>
      </c>
      <c r="D207" s="56" t="s">
        <v>11</v>
      </c>
    </row>
    <row r="208" spans="2:4" ht="11.25">
      <c r="B208" s="44"/>
      <c r="C208" s="44"/>
      <c r="D208" s="44"/>
    </row>
    <row r="209" spans="2:4" ht="11.25">
      <c r="B209" s="44"/>
      <c r="C209" s="44"/>
      <c r="D209" s="44"/>
    </row>
    <row r="210" spans="2:4" ht="11.25">
      <c r="B210" s="44"/>
      <c r="C210" s="44"/>
      <c r="D210" s="44"/>
    </row>
    <row r="211" spans="2:4" ht="11.25">
      <c r="B211" s="44"/>
      <c r="C211" s="44"/>
      <c r="D211" s="44"/>
    </row>
    <row r="212" spans="2:4" ht="11.25">
      <c r="B212" s="44"/>
      <c r="C212" s="44"/>
      <c r="D212" s="44"/>
    </row>
    <row r="213" spans="2:4" ht="11.25">
      <c r="B213" s="45"/>
      <c r="C213" s="45"/>
      <c r="D213" s="45"/>
    </row>
    <row r="214" spans="2:4" ht="11.25">
      <c r="B214" s="85" t="s">
        <v>56</v>
      </c>
      <c r="C214" s="85" t="s">
        <v>56</v>
      </c>
      <c r="D214" s="85" t="s">
        <v>18</v>
      </c>
    </row>
    <row r="215" spans="2:4" ht="11.25">
      <c r="B215" s="56" t="s">
        <v>11</v>
      </c>
      <c r="C215" s="56" t="s">
        <v>11</v>
      </c>
      <c r="D215" s="56" t="s">
        <v>11</v>
      </c>
    </row>
    <row r="216" spans="2:4" ht="11.25">
      <c r="B216" s="56" t="s">
        <v>11</v>
      </c>
      <c r="C216" s="56" t="s">
        <v>11</v>
      </c>
      <c r="D216" s="56" t="s">
        <v>11</v>
      </c>
    </row>
    <row r="217" spans="2:4" ht="11.25">
      <c r="B217" s="44"/>
      <c r="C217" s="44"/>
      <c r="D217" s="44"/>
    </row>
    <row r="218" spans="2:4" ht="11.25">
      <c r="B218" s="44"/>
      <c r="C218" s="44"/>
      <c r="D218" s="44"/>
    </row>
    <row r="219" spans="2:4" ht="11.25">
      <c r="B219" s="44"/>
      <c r="C219" s="44"/>
      <c r="D219" s="44"/>
    </row>
    <row r="220" spans="2:4" ht="11.25">
      <c r="B220" s="44"/>
      <c r="C220" s="44"/>
      <c r="D220" s="44"/>
    </row>
    <row r="221" spans="2:4" ht="11.25">
      <c r="B221" s="44"/>
      <c r="C221" s="44"/>
      <c r="D221" s="44"/>
    </row>
    <row r="222" spans="2:4" ht="11.25">
      <c r="B222" s="45"/>
      <c r="C222" s="45"/>
      <c r="D222" s="45"/>
    </row>
    <row r="223" spans="1:4" ht="11.25">
      <c r="A223" s="41" t="s">
        <v>57</v>
      </c>
      <c r="B223" s="43" t="s">
        <v>146</v>
      </c>
      <c r="C223" s="43" t="s">
        <v>146</v>
      </c>
      <c r="D223" s="43" t="s">
        <v>146</v>
      </c>
    </row>
    <row r="224" spans="2:4" ht="11.25">
      <c r="B224" s="56" t="s">
        <v>11</v>
      </c>
      <c r="C224" s="56" t="s">
        <v>11</v>
      </c>
      <c r="D224" s="56" t="s">
        <v>11</v>
      </c>
    </row>
    <row r="225" spans="2:4" ht="11.25">
      <c r="B225" s="56" t="s">
        <v>11</v>
      </c>
      <c r="C225" s="56" t="s">
        <v>11</v>
      </c>
      <c r="D225" s="56" t="s">
        <v>11</v>
      </c>
    </row>
    <row r="226" spans="2:4" ht="11.25">
      <c r="B226" s="44"/>
      <c r="C226" s="44"/>
      <c r="D226" s="44"/>
    </row>
    <row r="227" spans="2:4" ht="11.25">
      <c r="B227" s="44"/>
      <c r="C227" s="44"/>
      <c r="D227" s="44"/>
    </row>
    <row r="228" spans="2:4" ht="11.25">
      <c r="B228" s="44"/>
      <c r="C228" s="44"/>
      <c r="D228" s="44"/>
    </row>
    <row r="229" spans="2:4" ht="11.25">
      <c r="B229" s="44"/>
      <c r="C229" s="44"/>
      <c r="D229" s="44"/>
    </row>
    <row r="230" spans="2:4" ht="11.25">
      <c r="B230" s="44"/>
      <c r="C230" s="44"/>
      <c r="D230" s="44"/>
    </row>
    <row r="231" spans="2:4" ht="11.25">
      <c r="B231" s="45"/>
      <c r="C231" s="45"/>
      <c r="D231" s="45"/>
    </row>
    <row r="232" spans="2:4" ht="11.25">
      <c r="B232" s="85" t="s">
        <v>147</v>
      </c>
      <c r="C232" s="85" t="s">
        <v>147</v>
      </c>
      <c r="D232" s="85" t="s">
        <v>147</v>
      </c>
    </row>
    <row r="233" spans="2:4" ht="11.25">
      <c r="B233" s="56" t="s">
        <v>11</v>
      </c>
      <c r="C233" s="56" t="s">
        <v>11</v>
      </c>
      <c r="D233" s="56" t="s">
        <v>11</v>
      </c>
    </row>
    <row r="234" spans="2:4" ht="11.25">
      <c r="B234" s="56" t="s">
        <v>11</v>
      </c>
      <c r="C234" s="56" t="s">
        <v>11</v>
      </c>
      <c r="D234" s="56" t="s">
        <v>11</v>
      </c>
    </row>
    <row r="235" spans="2:4" ht="11.25">
      <c r="B235" s="44"/>
      <c r="C235" s="44"/>
      <c r="D235" s="44"/>
    </row>
    <row r="236" spans="2:4" ht="11.25">
      <c r="B236" s="44"/>
      <c r="C236" s="44"/>
      <c r="D236" s="44"/>
    </row>
    <row r="237" spans="2:4" ht="11.25">
      <c r="B237" s="44"/>
      <c r="C237" s="44"/>
      <c r="D237" s="44"/>
    </row>
    <row r="238" spans="2:4" ht="11.25">
      <c r="B238" s="44"/>
      <c r="C238" s="44"/>
      <c r="D238" s="44"/>
    </row>
    <row r="239" spans="2:4" ht="11.25">
      <c r="B239" s="44"/>
      <c r="C239" s="44"/>
      <c r="D239" s="44"/>
    </row>
    <row r="240" spans="2:4" ht="11.25">
      <c r="B240" s="45"/>
      <c r="C240" s="45"/>
      <c r="D240" s="45"/>
    </row>
    <row r="241" spans="1:4" ht="11.25">
      <c r="A241" s="41" t="s">
        <v>59</v>
      </c>
      <c r="B241" s="43" t="s">
        <v>16</v>
      </c>
      <c r="C241" s="43" t="s">
        <v>16</v>
      </c>
      <c r="D241" s="43" t="s">
        <v>16</v>
      </c>
    </row>
    <row r="242" spans="2:4" ht="11.25">
      <c r="B242" s="56" t="s">
        <v>31</v>
      </c>
      <c r="C242" s="56" t="s">
        <v>31</v>
      </c>
      <c r="D242" s="56" t="s">
        <v>31</v>
      </c>
    </row>
    <row r="243" spans="2:4" ht="11.25">
      <c r="B243" s="56" t="s">
        <v>11</v>
      </c>
      <c r="C243" s="56" t="s">
        <v>11</v>
      </c>
      <c r="D243" s="56" t="s">
        <v>11</v>
      </c>
    </row>
    <row r="244" spans="2:4" ht="11.25">
      <c r="B244" s="44"/>
      <c r="C244" s="44"/>
      <c r="D244" s="44"/>
    </row>
    <row r="245" spans="2:4" ht="11.25">
      <c r="B245" s="44"/>
      <c r="C245" s="44"/>
      <c r="D245" s="44"/>
    </row>
    <row r="246" spans="2:4" ht="11.25">
      <c r="B246" s="44"/>
      <c r="C246" s="44"/>
      <c r="D246" s="44"/>
    </row>
    <row r="247" spans="2:4" ht="11.25">
      <c r="B247" s="44"/>
      <c r="C247" s="44"/>
      <c r="D247" s="44"/>
    </row>
    <row r="248" spans="2:4" ht="11.25">
      <c r="B248" s="44"/>
      <c r="C248" s="44"/>
      <c r="D248" s="44"/>
    </row>
    <row r="249" spans="2:4" ht="11.25">
      <c r="B249" s="45"/>
      <c r="C249" s="45"/>
      <c r="D249" s="45"/>
    </row>
    <row r="250" spans="2:4" ht="11.25">
      <c r="B250" s="85" t="s">
        <v>56</v>
      </c>
      <c r="C250" s="85" t="s">
        <v>56</v>
      </c>
      <c r="D250" s="85" t="s">
        <v>56</v>
      </c>
    </row>
    <row r="251" spans="2:4" ht="11.25">
      <c r="B251" s="44" t="s">
        <v>1</v>
      </c>
      <c r="C251" s="44" t="s">
        <v>1</v>
      </c>
      <c r="D251" s="44" t="s">
        <v>1</v>
      </c>
    </row>
    <row r="252" spans="2:4" ht="11.25">
      <c r="B252" s="56" t="s">
        <v>11</v>
      </c>
      <c r="C252" s="56" t="s">
        <v>11</v>
      </c>
      <c r="D252" s="56" t="s">
        <v>11</v>
      </c>
    </row>
    <row r="253" spans="2:4" ht="11.25">
      <c r="B253" s="44"/>
      <c r="C253" s="44"/>
      <c r="D253" s="44"/>
    </row>
    <row r="254" spans="2:4" ht="11.25">
      <c r="B254" s="44"/>
      <c r="C254" s="44"/>
      <c r="D254" s="44"/>
    </row>
    <row r="255" spans="2:4" ht="11.25">
      <c r="B255" s="44"/>
      <c r="C255" s="44"/>
      <c r="D255" s="44"/>
    </row>
    <row r="256" spans="2:4" ht="11.25">
      <c r="B256" s="44"/>
      <c r="C256" s="44"/>
      <c r="D256" s="44"/>
    </row>
    <row r="257" spans="2:4" ht="11.25">
      <c r="B257" s="44"/>
      <c r="C257" s="44"/>
      <c r="D257" s="44"/>
    </row>
    <row r="258" spans="2:4" ht="11.25">
      <c r="B258" s="45"/>
      <c r="C258" s="45"/>
      <c r="D258" s="45"/>
    </row>
    <row r="259" spans="1:4" ht="11.25">
      <c r="A259" s="41" t="s">
        <v>66</v>
      </c>
      <c r="B259" s="56" t="s">
        <v>64</v>
      </c>
      <c r="C259" s="56" t="s">
        <v>64</v>
      </c>
      <c r="D259" s="56" t="s">
        <v>64</v>
      </c>
    </row>
    <row r="260" spans="2:4" ht="11.25">
      <c r="B260" s="56" t="s">
        <v>11</v>
      </c>
      <c r="C260" s="56" t="s">
        <v>11</v>
      </c>
      <c r="D260" s="56" t="s">
        <v>11</v>
      </c>
    </row>
    <row r="261" spans="2:4" ht="11.25">
      <c r="B261" s="56" t="s">
        <v>11</v>
      </c>
      <c r="C261" s="56" t="s">
        <v>11</v>
      </c>
      <c r="D261" s="56" t="s">
        <v>11</v>
      </c>
    </row>
    <row r="262" spans="2:4" ht="11.25">
      <c r="B262" s="56" t="s">
        <v>11</v>
      </c>
      <c r="C262" s="56" t="s">
        <v>11</v>
      </c>
      <c r="D262" s="56" t="s">
        <v>11</v>
      </c>
    </row>
    <row r="263" spans="2:4" ht="11.25">
      <c r="B263" s="44"/>
      <c r="C263" s="165"/>
      <c r="D263" s="165"/>
    </row>
    <row r="264" spans="2:4" ht="11.25">
      <c r="B264" s="44"/>
      <c r="C264" s="165"/>
      <c r="D264" s="165"/>
    </row>
    <row r="265" spans="2:4" ht="11.25">
      <c r="B265" s="44"/>
      <c r="C265" s="165"/>
      <c r="D265" s="165"/>
    </row>
    <row r="266" spans="2:4" ht="11.25">
      <c r="B266" s="44"/>
      <c r="C266" s="165"/>
      <c r="D266" s="165"/>
    </row>
    <row r="267" spans="2:4" ht="11.25">
      <c r="B267" s="56"/>
      <c r="C267" s="144"/>
      <c r="D267" s="144"/>
    </row>
    <row r="268" spans="2:4" ht="11.25">
      <c r="B268" s="56"/>
      <c r="C268" s="165"/>
      <c r="D268" s="165"/>
    </row>
    <row r="269" spans="2:4" ht="11.25">
      <c r="B269" s="56"/>
      <c r="C269" s="144"/>
      <c r="D269" s="144"/>
    </row>
    <row r="270" spans="2:4" ht="11.25">
      <c r="B270" s="56"/>
      <c r="C270" s="144"/>
      <c r="D270" s="144"/>
    </row>
    <row r="271" spans="2:4" ht="11.25">
      <c r="B271" s="44"/>
      <c r="C271" s="165"/>
      <c r="D271" s="165"/>
    </row>
    <row r="272" spans="2:4" ht="11.25">
      <c r="B272" s="44"/>
      <c r="C272" s="165"/>
      <c r="D272" s="165"/>
    </row>
    <row r="273" spans="2:4" ht="11.25">
      <c r="B273" s="56"/>
      <c r="C273" s="165"/>
      <c r="D273" s="165"/>
    </row>
    <row r="274" spans="2:4" ht="11.25">
      <c r="B274" s="45"/>
      <c r="C274" s="165"/>
      <c r="D274" s="165"/>
    </row>
    <row r="275" spans="2:4" ht="11.25">
      <c r="B275" s="85" t="s">
        <v>19</v>
      </c>
      <c r="C275" s="85" t="s">
        <v>19</v>
      </c>
      <c r="D275" s="85" t="s">
        <v>19</v>
      </c>
    </row>
    <row r="276" spans="2:4" ht="11.25">
      <c r="B276" s="56" t="s">
        <v>19</v>
      </c>
      <c r="C276" s="56" t="s">
        <v>19</v>
      </c>
      <c r="D276" s="56" t="s">
        <v>19</v>
      </c>
    </row>
    <row r="277" spans="2:4" ht="11.25">
      <c r="B277" s="56" t="s">
        <v>19</v>
      </c>
      <c r="C277" s="56" t="s">
        <v>19</v>
      </c>
      <c r="D277" s="56" t="s">
        <v>19</v>
      </c>
    </row>
    <row r="278" spans="2:4" ht="11.25">
      <c r="B278" s="56" t="s">
        <v>19</v>
      </c>
      <c r="C278" s="56" t="s">
        <v>19</v>
      </c>
      <c r="D278" s="56" t="s">
        <v>19</v>
      </c>
    </row>
    <row r="279" spans="2:4" ht="11.25">
      <c r="B279" s="44"/>
      <c r="C279" s="44"/>
      <c r="D279" s="44"/>
    </row>
    <row r="280" spans="2:4" ht="11.25">
      <c r="B280" s="44"/>
      <c r="C280" s="44"/>
      <c r="D280" s="44"/>
    </row>
    <row r="281" spans="2:4" ht="11.25">
      <c r="B281" s="44"/>
      <c r="C281" s="44"/>
      <c r="D281" s="44"/>
    </row>
    <row r="282" spans="2:4" ht="11.25">
      <c r="B282" s="44"/>
      <c r="C282" s="44"/>
      <c r="D282" s="44"/>
    </row>
    <row r="283" spans="2:4" ht="11.25">
      <c r="B283" s="56"/>
      <c r="C283" s="56"/>
      <c r="D283" s="56"/>
    </row>
    <row r="284" spans="2:4" ht="11.25">
      <c r="B284" s="56"/>
      <c r="C284" s="56"/>
      <c r="D284" s="56"/>
    </row>
    <row r="285" spans="2:4" ht="11.25">
      <c r="B285" s="56"/>
      <c r="C285" s="56"/>
      <c r="D285" s="56"/>
    </row>
    <row r="286" spans="2:4" ht="11.25">
      <c r="B286" s="56"/>
      <c r="C286" s="56"/>
      <c r="D286" s="56"/>
    </row>
    <row r="287" spans="2:4" ht="11.25">
      <c r="B287" s="44"/>
      <c r="C287" s="44"/>
      <c r="D287" s="44"/>
    </row>
    <row r="288" spans="2:4" ht="11.25">
      <c r="B288" s="44"/>
      <c r="C288" s="44"/>
      <c r="D288" s="44"/>
    </row>
    <row r="289" spans="2:4" ht="11.25">
      <c r="B289" s="56"/>
      <c r="C289" s="56"/>
      <c r="D289" s="56"/>
    </row>
    <row r="290" spans="2:4" ht="11.25">
      <c r="B290" s="45"/>
      <c r="C290" s="45"/>
      <c r="D290" s="45"/>
    </row>
    <row r="291" spans="2:4" ht="11.25">
      <c r="B291" s="139" t="s">
        <v>63</v>
      </c>
      <c r="C291" s="139" t="s">
        <v>63</v>
      </c>
      <c r="D291" s="139" t="s">
        <v>63</v>
      </c>
    </row>
    <row r="292" spans="2:4" ht="11.25">
      <c r="B292" s="56" t="s">
        <v>68</v>
      </c>
      <c r="C292" s="56" t="s">
        <v>68</v>
      </c>
      <c r="D292" s="56" t="s">
        <v>68</v>
      </c>
    </row>
    <row r="293" spans="2:4" ht="11.25">
      <c r="B293" s="56" t="s">
        <v>65</v>
      </c>
      <c r="C293" s="56" t="s">
        <v>65</v>
      </c>
      <c r="D293" s="56" t="s">
        <v>65</v>
      </c>
    </row>
    <row r="294" spans="2:4" ht="11.25">
      <c r="B294" s="165" t="s">
        <v>67</v>
      </c>
      <c r="C294" s="165" t="s">
        <v>64</v>
      </c>
      <c r="D294" s="165" t="s">
        <v>64</v>
      </c>
    </row>
    <row r="295" spans="2:4" ht="11.25">
      <c r="B295" s="44"/>
      <c r="C295" s="165"/>
      <c r="D295" s="165"/>
    </row>
    <row r="296" spans="2:4" ht="11.25">
      <c r="B296" s="44"/>
      <c r="C296" s="165"/>
      <c r="D296" s="165"/>
    </row>
    <row r="297" spans="2:4" ht="11.25">
      <c r="B297" s="44"/>
      <c r="C297" s="165"/>
      <c r="D297" s="165"/>
    </row>
    <row r="298" spans="2:4" ht="11.25">
      <c r="B298" s="44"/>
      <c r="C298" s="165"/>
      <c r="D298" s="165"/>
    </row>
    <row r="299" spans="2:4" ht="11.25">
      <c r="B299" s="56"/>
      <c r="C299" s="144"/>
      <c r="D299" s="144"/>
    </row>
    <row r="300" spans="2:4" ht="11.25">
      <c r="B300" s="56"/>
      <c r="C300" s="165"/>
      <c r="D300" s="165"/>
    </row>
    <row r="301" spans="2:4" ht="11.25">
      <c r="B301" s="56"/>
      <c r="C301" s="144"/>
      <c r="D301" s="144"/>
    </row>
    <row r="302" spans="2:4" ht="11.25">
      <c r="B302" s="56"/>
      <c r="C302" s="144"/>
      <c r="D302" s="144"/>
    </row>
    <row r="303" spans="2:4" ht="11.25">
      <c r="B303" s="44"/>
      <c r="C303" s="165"/>
      <c r="D303" s="165"/>
    </row>
    <row r="304" spans="2:4" ht="11.25">
      <c r="B304" s="44"/>
      <c r="C304" s="165"/>
      <c r="D304" s="165"/>
    </row>
    <row r="305" spans="2:4" ht="11.25">
      <c r="B305" s="56"/>
      <c r="C305" s="165"/>
      <c r="D305" s="165"/>
    </row>
    <row r="306" spans="2:4" ht="11.25">
      <c r="B306" s="45"/>
      <c r="C306" s="165"/>
      <c r="D306" s="165"/>
    </row>
    <row r="307" spans="2:4" ht="11.25">
      <c r="B307" s="85" t="s">
        <v>18</v>
      </c>
      <c r="C307" s="85" t="s">
        <v>18</v>
      </c>
      <c r="D307" s="85" t="s">
        <v>18</v>
      </c>
    </row>
    <row r="308" spans="2:4" ht="11.25">
      <c r="B308" s="56" t="s">
        <v>17</v>
      </c>
      <c r="C308" s="56" t="s">
        <v>17</v>
      </c>
      <c r="D308" s="56" t="s">
        <v>17</v>
      </c>
    </row>
    <row r="309" spans="2:4" ht="11.25">
      <c r="B309" s="56" t="s">
        <v>17</v>
      </c>
      <c r="C309" s="56" t="s">
        <v>17</v>
      </c>
      <c r="D309" s="56" t="s">
        <v>17</v>
      </c>
    </row>
    <row r="310" spans="2:4" ht="11.25">
      <c r="B310" s="56" t="s">
        <v>17</v>
      </c>
      <c r="C310" s="56" t="s">
        <v>17</v>
      </c>
      <c r="D310" s="56" t="s">
        <v>17</v>
      </c>
    </row>
    <row r="311" spans="2:4" ht="11.25">
      <c r="B311" s="44"/>
      <c r="C311" s="44"/>
      <c r="D311" s="44"/>
    </row>
    <row r="312" spans="2:4" ht="11.25">
      <c r="B312" s="44"/>
      <c r="C312" s="44"/>
      <c r="D312" s="44"/>
    </row>
    <row r="313" spans="2:4" ht="11.25">
      <c r="B313" s="44"/>
      <c r="C313" s="44"/>
      <c r="D313" s="44"/>
    </row>
    <row r="314" spans="2:4" ht="11.25">
      <c r="B314" s="44"/>
      <c r="C314" s="44"/>
      <c r="D314" s="44"/>
    </row>
    <row r="315" spans="2:4" ht="11.25">
      <c r="B315" s="56"/>
      <c r="C315" s="56"/>
      <c r="D315" s="56"/>
    </row>
    <row r="316" spans="2:4" ht="11.25">
      <c r="B316" s="56"/>
      <c r="C316" s="56"/>
      <c r="D316" s="56"/>
    </row>
    <row r="317" spans="2:4" ht="11.25">
      <c r="B317" s="56"/>
      <c r="C317" s="56"/>
      <c r="D317" s="56"/>
    </row>
    <row r="318" spans="2:4" ht="11.25">
      <c r="B318" s="56"/>
      <c r="C318" s="56"/>
      <c r="D318" s="56"/>
    </row>
    <row r="319" spans="2:4" ht="11.25">
      <c r="B319" s="44"/>
      <c r="C319" s="44"/>
      <c r="D319" s="44"/>
    </row>
    <row r="320" spans="2:4" ht="11.25">
      <c r="B320" s="44"/>
      <c r="C320" s="44"/>
      <c r="D320" s="44"/>
    </row>
    <row r="321" spans="2:4" ht="11.25">
      <c r="B321" s="56"/>
      <c r="C321" s="56"/>
      <c r="D321" s="56"/>
    </row>
    <row r="322" spans="2:4" ht="11.25">
      <c r="B322" s="45"/>
      <c r="C322" s="45"/>
      <c r="D322" s="45"/>
    </row>
    <row r="323" spans="1:4" ht="11.25">
      <c r="A323" s="41" t="s">
        <v>5</v>
      </c>
      <c r="B323" s="43" t="s">
        <v>137</v>
      </c>
      <c r="C323" s="43" t="s">
        <v>137</v>
      </c>
      <c r="D323" s="43" t="s">
        <v>137</v>
      </c>
    </row>
    <row r="324" spans="2:4" ht="11.25">
      <c r="B324" s="44" t="s">
        <v>72</v>
      </c>
      <c r="C324" s="44" t="s">
        <v>72</v>
      </c>
      <c r="D324" s="44" t="s">
        <v>72</v>
      </c>
    </row>
    <row r="325" spans="2:4" ht="11.25">
      <c r="B325" s="56" t="s">
        <v>11</v>
      </c>
      <c r="C325" s="56" t="s">
        <v>11</v>
      </c>
      <c r="D325" s="56" t="s">
        <v>11</v>
      </c>
    </row>
    <row r="326" spans="2:4" ht="11.25">
      <c r="B326" s="56" t="s">
        <v>11</v>
      </c>
      <c r="C326" s="56" t="s">
        <v>11</v>
      </c>
      <c r="D326" s="56" t="s">
        <v>11</v>
      </c>
    </row>
    <row r="327" spans="2:4" ht="11.25">
      <c r="B327" s="44"/>
      <c r="C327" s="88"/>
      <c r="D327" s="88"/>
    </row>
    <row r="328" spans="2:4" ht="11.25">
      <c r="B328" s="44"/>
      <c r="C328" s="88"/>
      <c r="D328" s="88"/>
    </row>
    <row r="329" spans="2:4" ht="11.25">
      <c r="B329" s="44"/>
      <c r="C329" s="44"/>
      <c r="D329" s="44"/>
    </row>
    <row r="330" spans="2:4" ht="11.25">
      <c r="B330" s="44"/>
      <c r="C330" s="44"/>
      <c r="D330" s="44"/>
    </row>
    <row r="331" spans="2:4" ht="11.25">
      <c r="B331" s="44"/>
      <c r="C331" s="44"/>
      <c r="D331" s="44"/>
    </row>
    <row r="332" spans="2:4" ht="11.25">
      <c r="B332" s="44"/>
      <c r="C332" s="44"/>
      <c r="D332" s="44"/>
    </row>
    <row r="333" spans="2:4" ht="11.25">
      <c r="B333" s="44"/>
      <c r="C333" s="44"/>
      <c r="D333" s="44"/>
    </row>
    <row r="334" spans="2:4" ht="11.25">
      <c r="B334" s="44"/>
      <c r="C334" s="44"/>
      <c r="D334" s="44"/>
    </row>
    <row r="335" spans="2:4" ht="11.25">
      <c r="B335" s="44"/>
      <c r="C335" s="44"/>
      <c r="D335" s="44"/>
    </row>
    <row r="336" spans="2:4" ht="11.25">
      <c r="B336" s="45"/>
      <c r="C336" s="45"/>
      <c r="D336" s="45"/>
    </row>
    <row r="337" spans="2:4" ht="11.25">
      <c r="B337" s="43" t="s">
        <v>4</v>
      </c>
      <c r="C337" s="43" t="s">
        <v>4</v>
      </c>
      <c r="D337" s="43" t="s">
        <v>4</v>
      </c>
    </row>
    <row r="338" spans="2:4" ht="11.25">
      <c r="B338" s="56" t="s">
        <v>56</v>
      </c>
      <c r="C338" s="56" t="s">
        <v>56</v>
      </c>
      <c r="D338" s="56" t="s">
        <v>56</v>
      </c>
    </row>
    <row r="339" spans="2:4" ht="11.25">
      <c r="B339" s="56" t="s">
        <v>56</v>
      </c>
      <c r="C339" s="56" t="s">
        <v>56</v>
      </c>
      <c r="D339" s="56" t="s">
        <v>56</v>
      </c>
    </row>
    <row r="340" spans="2:4" ht="11.25">
      <c r="B340" s="56" t="s">
        <v>11</v>
      </c>
      <c r="C340" s="56" t="s">
        <v>11</v>
      </c>
      <c r="D340" s="56" t="s">
        <v>11</v>
      </c>
    </row>
    <row r="341" spans="2:4" ht="11.25">
      <c r="B341" s="56" t="s">
        <v>11</v>
      </c>
      <c r="C341" s="56" t="s">
        <v>11</v>
      </c>
      <c r="D341" s="56" t="s">
        <v>11</v>
      </c>
    </row>
    <row r="342" spans="2:4" ht="11.25">
      <c r="B342" s="56" t="s">
        <v>11</v>
      </c>
      <c r="C342" s="56" t="s">
        <v>11</v>
      </c>
      <c r="D342" s="56" t="s">
        <v>11</v>
      </c>
    </row>
    <row r="343" spans="2:4" ht="11.25">
      <c r="B343" s="44"/>
      <c r="C343" s="44"/>
      <c r="D343" s="44"/>
    </row>
    <row r="344" spans="2:4" ht="11.25">
      <c r="B344" s="44"/>
      <c r="C344" s="44"/>
      <c r="D344" s="44"/>
    </row>
    <row r="345" spans="2:4" ht="11.25">
      <c r="B345" s="44"/>
      <c r="C345" s="44"/>
      <c r="D345" s="44"/>
    </row>
    <row r="346" spans="2:4" ht="11.25">
      <c r="B346" s="44"/>
      <c r="C346" s="44"/>
      <c r="D346" s="44"/>
    </row>
    <row r="347" spans="2:4" ht="11.25">
      <c r="B347" s="44"/>
      <c r="C347" s="44"/>
      <c r="D347" s="44"/>
    </row>
    <row r="348" spans="2:4" ht="11.25">
      <c r="B348" s="44"/>
      <c r="C348" s="44"/>
      <c r="D348" s="44"/>
    </row>
    <row r="349" spans="2:4" ht="11.25">
      <c r="B349" s="44"/>
      <c r="C349" s="44"/>
      <c r="D349" s="44"/>
    </row>
    <row r="350" spans="2:4" ht="11.25">
      <c r="B350" s="45"/>
      <c r="C350" s="45"/>
      <c r="D350" s="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BHATIA Himanshu</cp:lastModifiedBy>
  <cp:lastPrinted>2014-01-29T10:45:33Z</cp:lastPrinted>
  <dcterms:created xsi:type="dcterms:W3CDTF">2003-11-05T10:56:04Z</dcterms:created>
  <dcterms:modified xsi:type="dcterms:W3CDTF">2017-01-18T10:07:16Z</dcterms:modified>
  <cp:category/>
  <cp:version/>
  <cp:contentType/>
  <cp:contentStatus/>
</cp:coreProperties>
</file>